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robertcasto/OmniChannel/outputs/01a08339-e624-7c33-88df-4e4f8975fc8f/"/>
    </mc:Choice>
  </mc:AlternateContent>
  <xr:revisionPtr revIDLastSave="0" documentId="13_ncr:20001_{D6A143F1-D215-4B43-84F7-48C939CD0BC1}" xr6:coauthVersionLast="47" xr6:coauthVersionMax="47" xr10:uidLastSave="{00000000-0000-0000-0000-000000000000}"/>
  <bookViews>
    <workbookView xWindow="0" yWindow="660" windowWidth="29400" windowHeight="16980" xr2:uid="{00000000-000D-0000-FFFF-FFFF00000000}"/>
  </bookViews>
  <sheets>
    <sheet name="Dashboard" sheetId="6" r:id="rId1"/>
    <sheet name="Pricing Tracker" sheetId="5" r:id="rId2"/>
    <sheet name="Assumptions" sheetId="4" r:id="rId3"/>
    <sheet name="Reading Order" sheetId="7" r:id="rId4"/>
    <sheet name="Missing Issues" sheetId="2" r:id="rId5"/>
    <sheet name="Shopping Plan" sheetId="3" r:id="rId6"/>
    <sheet name="export_comics (2)" sheetId="1" r:id="rId7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1" i="5" l="1"/>
  <c r="J121" i="5" s="1"/>
  <c r="E120" i="5"/>
  <c r="J120" i="5" s="1"/>
  <c r="E119" i="5"/>
  <c r="J119" i="5" s="1"/>
  <c r="I121" i="5"/>
  <c r="H121" i="5"/>
  <c r="K121" i="5" s="1"/>
  <c r="L121" i="5" s="1"/>
  <c r="C121" i="5"/>
  <c r="B121" i="5"/>
  <c r="A121" i="5"/>
  <c r="I120" i="5"/>
  <c r="C120" i="5"/>
  <c r="B120" i="5"/>
  <c r="A120" i="5"/>
  <c r="I119" i="5"/>
  <c r="C119" i="5"/>
  <c r="B119" i="5"/>
  <c r="A119" i="5"/>
  <c r="G5" i="7"/>
  <c r="H5" i="7"/>
  <c r="A5" i="7"/>
  <c r="B5" i="7"/>
  <c r="C5" i="7"/>
  <c r="D5" i="7"/>
  <c r="E5" i="7"/>
  <c r="K21" i="7"/>
  <c r="K20" i="7"/>
  <c r="J32" i="7"/>
  <c r="J30" i="7"/>
  <c r="J26" i="7"/>
  <c r="J25" i="7"/>
  <c r="J15" i="7"/>
  <c r="J11" i="7"/>
  <c r="F31" i="7"/>
  <c r="E31" i="7"/>
  <c r="J31" i="7" s="1"/>
  <c r="D31" i="7"/>
  <c r="K31" i="7" s="1"/>
  <c r="C31" i="7"/>
  <c r="F30" i="7"/>
  <c r="E30" i="7"/>
  <c r="D30" i="7"/>
  <c r="K30" i="7" s="1"/>
  <c r="C30" i="7"/>
  <c r="F20" i="7"/>
  <c r="E20" i="7"/>
  <c r="J20" i="7" s="1"/>
  <c r="D20" i="7"/>
  <c r="F19" i="7"/>
  <c r="E19" i="7"/>
  <c r="K19" i="7" s="1"/>
  <c r="D19" i="7"/>
  <c r="F32" i="7"/>
  <c r="E32" i="7"/>
  <c r="D32" i="7"/>
  <c r="K32" i="7" s="1"/>
  <c r="C32" i="7"/>
  <c r="F27" i="7"/>
  <c r="E27" i="7"/>
  <c r="J27" i="7" s="1"/>
  <c r="D27" i="7"/>
  <c r="K27" i="7" s="1"/>
  <c r="C27" i="7"/>
  <c r="F26" i="7"/>
  <c r="E26" i="7"/>
  <c r="K26" i="7" s="1"/>
  <c r="D26" i="7"/>
  <c r="C26" i="7"/>
  <c r="F25" i="7"/>
  <c r="E25" i="7"/>
  <c r="D25" i="7"/>
  <c r="K25" i="7" s="1"/>
  <c r="C25" i="7"/>
  <c r="F24" i="7"/>
  <c r="E24" i="7"/>
  <c r="D24" i="7"/>
  <c r="K24" i="7" s="1"/>
  <c r="C24" i="7"/>
  <c r="F21" i="7"/>
  <c r="E21" i="7"/>
  <c r="J21" i="7" s="1"/>
  <c r="D21" i="7"/>
  <c r="C21" i="7"/>
  <c r="C20" i="7"/>
  <c r="C19" i="7"/>
  <c r="F16" i="7"/>
  <c r="E16" i="7"/>
  <c r="J16" i="7" s="1"/>
  <c r="D16" i="7"/>
  <c r="K16" i="7" s="1"/>
  <c r="C16" i="7"/>
  <c r="F15" i="7"/>
  <c r="E15" i="7"/>
  <c r="D15" i="7"/>
  <c r="C15" i="7"/>
  <c r="F14" i="7"/>
  <c r="E14" i="7"/>
  <c r="J14" i="7" s="1"/>
  <c r="D14" i="7"/>
  <c r="K14" i="7" s="1"/>
  <c r="C14" i="7"/>
  <c r="M124" i="5"/>
  <c r="K2" i="5"/>
  <c r="K19" i="5"/>
  <c r="K22" i="5"/>
  <c r="K23" i="5"/>
  <c r="K34" i="5"/>
  <c r="K36" i="5"/>
  <c r="K49" i="5"/>
  <c r="K57" i="5"/>
  <c r="N29" i="6"/>
  <c r="O29" i="6"/>
  <c r="N30" i="6"/>
  <c r="O30" i="6"/>
  <c r="N31" i="6"/>
  <c r="N32" i="6"/>
  <c r="O32" i="6"/>
  <c r="N33" i="6"/>
  <c r="O33" i="6"/>
  <c r="N34" i="6"/>
  <c r="O34" i="6"/>
  <c r="N35" i="6"/>
  <c r="O35" i="6"/>
  <c r="N36" i="6"/>
  <c r="O36" i="6"/>
  <c r="N20" i="6"/>
  <c r="N21" i="6"/>
  <c r="N22" i="6"/>
  <c r="N23" i="6"/>
  <c r="N24" i="6"/>
  <c r="N25" i="6"/>
  <c r="N9" i="6"/>
  <c r="N10" i="6"/>
  <c r="N11" i="6"/>
  <c r="N12" i="6"/>
  <c r="N13" i="6"/>
  <c r="N14" i="6"/>
  <c r="N15" i="6"/>
  <c r="N16" i="6"/>
  <c r="A22" i="6"/>
  <c r="A23" i="6"/>
  <c r="A24" i="6"/>
  <c r="A25" i="6"/>
  <c r="A26" i="6"/>
  <c r="A27" i="6"/>
  <c r="I18" i="6"/>
  <c r="I17" i="6"/>
  <c r="F9" i="6"/>
  <c r="G9" i="6"/>
  <c r="H9" i="6"/>
  <c r="I9" i="6"/>
  <c r="J9" i="6"/>
  <c r="F10" i="6"/>
  <c r="G10" i="6"/>
  <c r="H10" i="6"/>
  <c r="I10" i="6"/>
  <c r="J10" i="6"/>
  <c r="F11" i="6"/>
  <c r="G11" i="6"/>
  <c r="H11" i="6"/>
  <c r="I11" i="6"/>
  <c r="J11" i="6"/>
  <c r="O31" i="6" s="1"/>
  <c r="F12" i="6"/>
  <c r="G12" i="6"/>
  <c r="H12" i="6"/>
  <c r="I12" i="6"/>
  <c r="J12" i="6"/>
  <c r="F13" i="6"/>
  <c r="G13" i="6"/>
  <c r="H13" i="6"/>
  <c r="I13" i="6"/>
  <c r="J13" i="6"/>
  <c r="F14" i="6"/>
  <c r="G14" i="6"/>
  <c r="H14" i="6"/>
  <c r="I14" i="6"/>
  <c r="J14" i="6"/>
  <c r="F15" i="6"/>
  <c r="G15" i="6"/>
  <c r="H15" i="6"/>
  <c r="I15" i="6"/>
  <c r="J15" i="6"/>
  <c r="F16" i="6"/>
  <c r="G16" i="6"/>
  <c r="H16" i="6"/>
  <c r="J16" i="6" s="1"/>
  <c r="I16" i="6"/>
  <c r="A16" i="6"/>
  <c r="A15" i="6"/>
  <c r="A14" i="6"/>
  <c r="A13" i="6"/>
  <c r="A12" i="6"/>
  <c r="A11" i="6"/>
  <c r="A10" i="6"/>
  <c r="A9" i="6"/>
  <c r="B5" i="6"/>
  <c r="C21" i="2"/>
  <c r="C20" i="2"/>
  <c r="G5" i="6" s="1"/>
  <c r="E2" i="5"/>
  <c r="E3" i="5"/>
  <c r="H3" i="5" s="1"/>
  <c r="E4" i="5"/>
  <c r="H4" i="5" s="1"/>
  <c r="E5" i="5"/>
  <c r="H5" i="5" s="1"/>
  <c r="E6" i="5"/>
  <c r="H6" i="5" s="1"/>
  <c r="E7" i="5"/>
  <c r="J7" i="5" s="1"/>
  <c r="E8" i="5"/>
  <c r="J8" i="5" s="1"/>
  <c r="E9" i="5"/>
  <c r="H9" i="5" s="1"/>
  <c r="E10" i="5"/>
  <c r="H10" i="5" s="1"/>
  <c r="E11" i="5"/>
  <c r="H11" i="5" s="1"/>
  <c r="E12" i="5"/>
  <c r="H12" i="5" s="1"/>
  <c r="E13" i="5"/>
  <c r="H13" i="5" s="1"/>
  <c r="E14" i="5"/>
  <c r="H14" i="5" s="1"/>
  <c r="E15" i="5"/>
  <c r="H15" i="5" s="1"/>
  <c r="E16" i="5"/>
  <c r="H16" i="5" s="1"/>
  <c r="E17" i="5"/>
  <c r="J17" i="5" s="1"/>
  <c r="E18" i="5"/>
  <c r="J18" i="5" s="1"/>
  <c r="E19" i="5"/>
  <c r="H19" i="5" s="1"/>
  <c r="I19" i="5" s="1"/>
  <c r="E20" i="5"/>
  <c r="H20" i="5" s="1"/>
  <c r="E21" i="5"/>
  <c r="H21" i="5" s="1"/>
  <c r="E22" i="5"/>
  <c r="H22" i="5" s="1"/>
  <c r="I22" i="5" s="1"/>
  <c r="E23" i="5"/>
  <c r="H23" i="5" s="1"/>
  <c r="I23" i="5" s="1"/>
  <c r="E24" i="5"/>
  <c r="H24" i="5" s="1"/>
  <c r="E25" i="5"/>
  <c r="H25" i="5" s="1"/>
  <c r="E26" i="5"/>
  <c r="H26" i="5" s="1"/>
  <c r="E27" i="5"/>
  <c r="J27" i="5" s="1"/>
  <c r="E28" i="5"/>
  <c r="J28" i="5" s="1"/>
  <c r="E29" i="5"/>
  <c r="H29" i="5" s="1"/>
  <c r="E30" i="5"/>
  <c r="H30" i="5" s="1"/>
  <c r="E31" i="5"/>
  <c r="H31" i="5" s="1"/>
  <c r="E32" i="5"/>
  <c r="H32" i="5" s="1"/>
  <c r="E33" i="5"/>
  <c r="H33" i="5" s="1"/>
  <c r="E34" i="5"/>
  <c r="H34" i="5" s="1"/>
  <c r="I34" i="5" s="1"/>
  <c r="E35" i="5"/>
  <c r="H35" i="5" s="1"/>
  <c r="E36" i="5"/>
  <c r="H36" i="5" s="1"/>
  <c r="I36" i="5" s="1"/>
  <c r="E37" i="5"/>
  <c r="J37" i="5" s="1"/>
  <c r="E38" i="5"/>
  <c r="J38" i="5" s="1"/>
  <c r="E39" i="5"/>
  <c r="H39" i="5" s="1"/>
  <c r="E40" i="5"/>
  <c r="H40" i="5" s="1"/>
  <c r="E41" i="5"/>
  <c r="H41" i="5" s="1"/>
  <c r="E42" i="5"/>
  <c r="H42" i="5" s="1"/>
  <c r="E43" i="5"/>
  <c r="H43" i="5" s="1"/>
  <c r="E44" i="5"/>
  <c r="H44" i="5" s="1"/>
  <c r="E45" i="5"/>
  <c r="H45" i="5" s="1"/>
  <c r="E46" i="5"/>
  <c r="H46" i="5" s="1"/>
  <c r="E47" i="5"/>
  <c r="J47" i="5" s="1"/>
  <c r="E48" i="5"/>
  <c r="J48" i="5" s="1"/>
  <c r="E49" i="5"/>
  <c r="H49" i="5" s="1"/>
  <c r="I49" i="5" s="1"/>
  <c r="E50" i="5"/>
  <c r="H50" i="5" s="1"/>
  <c r="E51" i="5"/>
  <c r="H51" i="5" s="1"/>
  <c r="E52" i="5"/>
  <c r="H52" i="5" s="1"/>
  <c r="E53" i="5"/>
  <c r="H53" i="5" s="1"/>
  <c r="E54" i="5"/>
  <c r="H54" i="5" s="1"/>
  <c r="E55" i="5"/>
  <c r="H55" i="5" s="1"/>
  <c r="E56" i="5"/>
  <c r="H56" i="5" s="1"/>
  <c r="E57" i="5"/>
  <c r="J57" i="5" s="1"/>
  <c r="E58" i="5"/>
  <c r="J58" i="5" s="1"/>
  <c r="E59" i="5"/>
  <c r="H59" i="5" s="1"/>
  <c r="E60" i="5"/>
  <c r="H60" i="5" s="1"/>
  <c r="E61" i="5"/>
  <c r="H61" i="5" s="1"/>
  <c r="E62" i="5"/>
  <c r="H62" i="5" s="1"/>
  <c r="E63" i="5"/>
  <c r="H63" i="5" s="1"/>
  <c r="E64" i="5"/>
  <c r="H64" i="5" s="1"/>
  <c r="E65" i="5"/>
  <c r="H65" i="5" s="1"/>
  <c r="E66" i="5"/>
  <c r="H66" i="5" s="1"/>
  <c r="E67" i="5"/>
  <c r="J67" i="5" s="1"/>
  <c r="E68" i="5"/>
  <c r="J68" i="5" s="1"/>
  <c r="E69" i="5"/>
  <c r="H69" i="5" s="1"/>
  <c r="E70" i="5"/>
  <c r="H70" i="5" s="1"/>
  <c r="E71" i="5"/>
  <c r="H71" i="5" s="1"/>
  <c r="E72" i="5"/>
  <c r="H72" i="5" s="1"/>
  <c r="E73" i="5"/>
  <c r="H73" i="5" s="1"/>
  <c r="E74" i="5"/>
  <c r="H74" i="5" s="1"/>
  <c r="E75" i="5"/>
  <c r="H75" i="5" s="1"/>
  <c r="E76" i="5"/>
  <c r="H76" i="5" s="1"/>
  <c r="E77" i="5"/>
  <c r="J77" i="5" s="1"/>
  <c r="E78" i="5"/>
  <c r="J78" i="5" s="1"/>
  <c r="E79" i="5"/>
  <c r="H79" i="5" s="1"/>
  <c r="E80" i="5"/>
  <c r="H80" i="5" s="1"/>
  <c r="E81" i="5"/>
  <c r="H81" i="5" s="1"/>
  <c r="E82" i="5"/>
  <c r="H82" i="5" s="1"/>
  <c r="E83" i="5"/>
  <c r="H83" i="5" s="1"/>
  <c r="E84" i="5"/>
  <c r="H84" i="5" s="1"/>
  <c r="E85" i="5"/>
  <c r="H85" i="5" s="1"/>
  <c r="E86" i="5"/>
  <c r="H86" i="5" s="1"/>
  <c r="E87" i="5"/>
  <c r="J87" i="5" s="1"/>
  <c r="E88" i="5"/>
  <c r="J88" i="5" s="1"/>
  <c r="E89" i="5"/>
  <c r="H89" i="5" s="1"/>
  <c r="E90" i="5"/>
  <c r="H90" i="5" s="1"/>
  <c r="E94" i="5"/>
  <c r="H94" i="5" s="1"/>
  <c r="E95" i="5"/>
  <c r="H95" i="5" s="1"/>
  <c r="E96" i="5"/>
  <c r="H96" i="5" s="1"/>
  <c r="E104" i="5"/>
  <c r="H104" i="5" s="1"/>
  <c r="E105" i="5"/>
  <c r="H105" i="5" s="1"/>
  <c r="E106" i="5"/>
  <c r="H106" i="5" s="1"/>
  <c r="E114" i="5"/>
  <c r="H114" i="5" s="1"/>
  <c r="E115" i="5"/>
  <c r="H115" i="5" s="1"/>
  <c r="E116" i="5"/>
  <c r="H116" i="5" s="1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22" i="5"/>
  <c r="A91" i="5"/>
  <c r="B9" i="6" s="1"/>
  <c r="B91" i="5"/>
  <c r="C91" i="5"/>
  <c r="A92" i="5"/>
  <c r="E92" i="5" s="1"/>
  <c r="B92" i="5"/>
  <c r="C92" i="5"/>
  <c r="A93" i="5"/>
  <c r="E93" i="5" s="1"/>
  <c r="B93" i="5"/>
  <c r="C93" i="5"/>
  <c r="A94" i="5"/>
  <c r="B94" i="5"/>
  <c r="C94" i="5"/>
  <c r="A95" i="5"/>
  <c r="B95" i="5"/>
  <c r="C95" i="5"/>
  <c r="A96" i="5"/>
  <c r="B96" i="5"/>
  <c r="C96" i="5"/>
  <c r="A97" i="5"/>
  <c r="E97" i="5" s="1"/>
  <c r="B97" i="5"/>
  <c r="C97" i="5"/>
  <c r="A98" i="5"/>
  <c r="E98" i="5" s="1"/>
  <c r="B98" i="5"/>
  <c r="C98" i="5"/>
  <c r="A99" i="5"/>
  <c r="E99" i="5" s="1"/>
  <c r="B99" i="5"/>
  <c r="C99" i="5"/>
  <c r="A100" i="5"/>
  <c r="E100" i="5" s="1"/>
  <c r="B100" i="5"/>
  <c r="C100" i="5"/>
  <c r="A101" i="5"/>
  <c r="E101" i="5" s="1"/>
  <c r="B101" i="5"/>
  <c r="C101" i="5"/>
  <c r="A102" i="5"/>
  <c r="E102" i="5" s="1"/>
  <c r="B102" i="5"/>
  <c r="C102" i="5"/>
  <c r="A103" i="5"/>
  <c r="E103" i="5" s="1"/>
  <c r="B103" i="5"/>
  <c r="C103" i="5"/>
  <c r="A104" i="5"/>
  <c r="B104" i="5"/>
  <c r="C104" i="5"/>
  <c r="A105" i="5"/>
  <c r="B105" i="5"/>
  <c r="C105" i="5"/>
  <c r="A106" i="5"/>
  <c r="B106" i="5"/>
  <c r="C106" i="5"/>
  <c r="A107" i="5"/>
  <c r="E107" i="5" s="1"/>
  <c r="B107" i="5"/>
  <c r="C107" i="5"/>
  <c r="A108" i="5"/>
  <c r="E108" i="5" s="1"/>
  <c r="B108" i="5"/>
  <c r="C108" i="5"/>
  <c r="A109" i="5"/>
  <c r="E109" i="5" s="1"/>
  <c r="B109" i="5"/>
  <c r="C109" i="5"/>
  <c r="A110" i="5"/>
  <c r="E110" i="5" s="1"/>
  <c r="B110" i="5"/>
  <c r="C110" i="5"/>
  <c r="A111" i="5"/>
  <c r="E111" i="5" s="1"/>
  <c r="B111" i="5"/>
  <c r="C111" i="5"/>
  <c r="A112" i="5"/>
  <c r="E112" i="5" s="1"/>
  <c r="B112" i="5"/>
  <c r="C112" i="5"/>
  <c r="A113" i="5"/>
  <c r="E113" i="5" s="1"/>
  <c r="B113" i="5"/>
  <c r="C113" i="5"/>
  <c r="A114" i="5"/>
  <c r="B114" i="5"/>
  <c r="C114" i="5"/>
  <c r="A115" i="5"/>
  <c r="B115" i="5"/>
  <c r="C115" i="5"/>
  <c r="A116" i="5"/>
  <c r="B116" i="5"/>
  <c r="C116" i="5"/>
  <c r="A117" i="5"/>
  <c r="E117" i="5" s="1"/>
  <c r="B117" i="5"/>
  <c r="C117" i="5"/>
  <c r="A118" i="5"/>
  <c r="E118" i="5" s="1"/>
  <c r="B118" i="5"/>
  <c r="C118" i="5"/>
  <c r="A122" i="5"/>
  <c r="E122" i="5" s="1"/>
  <c r="B122" i="5"/>
  <c r="C122" i="5"/>
  <c r="B88" i="3"/>
  <c r="B87" i="3"/>
  <c r="B79" i="3"/>
  <c r="B78" i="3"/>
  <c r="B77" i="3"/>
  <c r="B76" i="3"/>
  <c r="B80" i="3" s="1"/>
  <c r="F73" i="3"/>
  <c r="F69" i="3"/>
  <c r="F68" i="3"/>
  <c r="F65" i="3"/>
  <c r="F64" i="3"/>
  <c r="F63" i="3"/>
  <c r="F62" i="3"/>
  <c r="F61" i="3"/>
  <c r="F60" i="3"/>
  <c r="F59" i="3"/>
  <c r="F58" i="3"/>
  <c r="F56" i="3"/>
  <c r="F55" i="3"/>
  <c r="F54" i="3"/>
  <c r="F51" i="3"/>
  <c r="F50" i="3"/>
  <c r="F47" i="3"/>
  <c r="F46" i="3"/>
  <c r="F45" i="3"/>
  <c r="F43" i="3"/>
  <c r="F42" i="3"/>
  <c r="F41" i="3"/>
  <c r="F40" i="3"/>
  <c r="F38" i="3"/>
  <c r="F37" i="3"/>
  <c r="F36" i="3"/>
  <c r="F35" i="3"/>
  <c r="F34" i="3"/>
  <c r="F33" i="3"/>
  <c r="D26" i="3"/>
  <c r="C26" i="3"/>
  <c r="C25" i="3"/>
  <c r="D25" i="3" s="1"/>
  <c r="D24" i="3"/>
  <c r="C24" i="3"/>
  <c r="C23" i="3"/>
  <c r="D23" i="3" s="1"/>
  <c r="C18" i="2"/>
  <c r="C17" i="2"/>
  <c r="C16" i="2"/>
  <c r="C15" i="2"/>
  <c r="C10" i="2"/>
  <c r="H120" i="5" l="1"/>
  <c r="K120" i="5" s="1"/>
  <c r="L120" i="5" s="1"/>
  <c r="H119" i="5"/>
  <c r="K119" i="5" s="1"/>
  <c r="L119" i="5" s="1"/>
  <c r="J98" i="5"/>
  <c r="H98" i="5"/>
  <c r="K98" i="5" s="1"/>
  <c r="L98" i="5" s="1"/>
  <c r="I90" i="5"/>
  <c r="I60" i="5"/>
  <c r="I40" i="5"/>
  <c r="K20" i="5"/>
  <c r="D15" i="6" s="1"/>
  <c r="I20" i="5"/>
  <c r="L20" i="5" s="1"/>
  <c r="J117" i="5"/>
  <c r="H117" i="5"/>
  <c r="K117" i="5" s="1"/>
  <c r="L117" i="5" s="1"/>
  <c r="J107" i="5"/>
  <c r="H107" i="5"/>
  <c r="K107" i="5" s="1"/>
  <c r="L107" i="5" s="1"/>
  <c r="J97" i="5"/>
  <c r="H97" i="5"/>
  <c r="K97" i="5" s="1"/>
  <c r="L97" i="5" s="1"/>
  <c r="K114" i="5"/>
  <c r="L114" i="5" s="1"/>
  <c r="K6" i="5"/>
  <c r="L6" i="5" s="1"/>
  <c r="I6" i="5"/>
  <c r="K5" i="5"/>
  <c r="L5" i="5" s="1"/>
  <c r="I5" i="5"/>
  <c r="J108" i="5"/>
  <c r="H108" i="5"/>
  <c r="I80" i="5"/>
  <c r="I70" i="5"/>
  <c r="I50" i="5"/>
  <c r="K30" i="5"/>
  <c r="I30" i="5"/>
  <c r="I76" i="5"/>
  <c r="I66" i="5"/>
  <c r="K56" i="5"/>
  <c r="I56" i="5"/>
  <c r="K46" i="5"/>
  <c r="L46" i="5" s="1"/>
  <c r="I46" i="5"/>
  <c r="I26" i="5"/>
  <c r="H103" i="5"/>
  <c r="J103" i="5"/>
  <c r="H93" i="5"/>
  <c r="J93" i="5"/>
  <c r="K85" i="5"/>
  <c r="I85" i="5"/>
  <c r="I75" i="5"/>
  <c r="I65" i="5"/>
  <c r="I55" i="5"/>
  <c r="K45" i="5"/>
  <c r="I45" i="5"/>
  <c r="K35" i="5"/>
  <c r="I35" i="5"/>
  <c r="C16" i="6" s="1"/>
  <c r="O16" i="6" s="1"/>
  <c r="I25" i="5"/>
  <c r="I15" i="5"/>
  <c r="I84" i="5"/>
  <c r="K74" i="5"/>
  <c r="I74" i="5"/>
  <c r="L74" i="5" s="1"/>
  <c r="K64" i="5"/>
  <c r="I64" i="5"/>
  <c r="I54" i="5"/>
  <c r="I44" i="5"/>
  <c r="L34" i="5"/>
  <c r="K24" i="5"/>
  <c r="I24" i="5"/>
  <c r="L24" i="5" s="1"/>
  <c r="K14" i="5"/>
  <c r="D24" i="6" s="1"/>
  <c r="I14" i="5"/>
  <c r="I4" i="5"/>
  <c r="J118" i="5"/>
  <c r="H118" i="5"/>
  <c r="K118" i="5" s="1"/>
  <c r="L118" i="5" s="1"/>
  <c r="H110" i="5"/>
  <c r="J110" i="5"/>
  <c r="I86" i="5"/>
  <c r="H113" i="5"/>
  <c r="K113" i="5" s="1"/>
  <c r="L113" i="5" s="1"/>
  <c r="J113" i="5"/>
  <c r="H122" i="5"/>
  <c r="K122" i="5" s="1"/>
  <c r="L122" i="5" s="1"/>
  <c r="J122" i="5"/>
  <c r="H109" i="5"/>
  <c r="J109" i="5"/>
  <c r="H99" i="5"/>
  <c r="J99" i="5"/>
  <c r="K96" i="5"/>
  <c r="L96" i="5" s="1"/>
  <c r="I83" i="5"/>
  <c r="C25" i="6" s="1"/>
  <c r="K83" i="5"/>
  <c r="D25" i="6" s="1"/>
  <c r="O23" i="6" s="1"/>
  <c r="I73" i="5"/>
  <c r="I63" i="5"/>
  <c r="I53" i="5"/>
  <c r="K53" i="5"/>
  <c r="I43" i="5"/>
  <c r="K43" i="5"/>
  <c r="I33" i="5"/>
  <c r="K33" i="5"/>
  <c r="L23" i="5"/>
  <c r="I13" i="5"/>
  <c r="I3" i="5"/>
  <c r="K81" i="5"/>
  <c r="I81" i="5"/>
  <c r="L81" i="5" s="1"/>
  <c r="K61" i="5"/>
  <c r="I61" i="5"/>
  <c r="L61" i="5" s="1"/>
  <c r="I41" i="5"/>
  <c r="I21" i="5"/>
  <c r="H100" i="5"/>
  <c r="J100" i="5"/>
  <c r="K16" i="5"/>
  <c r="I16" i="5"/>
  <c r="H112" i="5"/>
  <c r="K112" i="5" s="1"/>
  <c r="L112" i="5" s="1"/>
  <c r="J112" i="5"/>
  <c r="H102" i="5"/>
  <c r="K102" i="5" s="1"/>
  <c r="L102" i="5" s="1"/>
  <c r="J102" i="5"/>
  <c r="H92" i="5"/>
  <c r="J92" i="5"/>
  <c r="I82" i="5"/>
  <c r="I72" i="5"/>
  <c r="I62" i="5"/>
  <c r="I52" i="5"/>
  <c r="I42" i="5"/>
  <c r="K42" i="5"/>
  <c r="L42" i="5" s="1"/>
  <c r="I32" i="5"/>
  <c r="K32" i="5"/>
  <c r="L32" i="5" s="1"/>
  <c r="I12" i="5"/>
  <c r="K12" i="5"/>
  <c r="L12" i="5" s="1"/>
  <c r="I11" i="5"/>
  <c r="I10" i="5"/>
  <c r="K94" i="5"/>
  <c r="L94" i="5" s="1"/>
  <c r="K71" i="5"/>
  <c r="I71" i="5"/>
  <c r="L71" i="5" s="1"/>
  <c r="K51" i="5"/>
  <c r="I51" i="5"/>
  <c r="L51" i="5" s="1"/>
  <c r="I31" i="5"/>
  <c r="H111" i="5"/>
  <c r="J111" i="5"/>
  <c r="H101" i="5"/>
  <c r="J101" i="5"/>
  <c r="K116" i="5"/>
  <c r="L116" i="5" s="1"/>
  <c r="K89" i="5"/>
  <c r="L89" i="5" s="1"/>
  <c r="I89" i="5"/>
  <c r="I79" i="5"/>
  <c r="I69" i="5"/>
  <c r="I59" i="5"/>
  <c r="I39" i="5"/>
  <c r="K29" i="5"/>
  <c r="I29" i="5"/>
  <c r="I9" i="5"/>
  <c r="L22" i="5"/>
  <c r="H88" i="5"/>
  <c r="H78" i="5"/>
  <c r="H68" i="5"/>
  <c r="H58" i="5"/>
  <c r="H48" i="5"/>
  <c r="H38" i="5"/>
  <c r="H28" i="5"/>
  <c r="H18" i="5"/>
  <c r="H8" i="5"/>
  <c r="J116" i="5"/>
  <c r="J106" i="5"/>
  <c r="K106" i="5" s="1"/>
  <c r="L106" i="5" s="1"/>
  <c r="J96" i="5"/>
  <c r="J86" i="5"/>
  <c r="K86" i="5" s="1"/>
  <c r="L86" i="5" s="1"/>
  <c r="J76" i="5"/>
  <c r="K76" i="5" s="1"/>
  <c r="J66" i="5"/>
  <c r="K66" i="5" s="1"/>
  <c r="L66" i="5" s="1"/>
  <c r="J56" i="5"/>
  <c r="J46" i="5"/>
  <c r="J36" i="5"/>
  <c r="J26" i="5"/>
  <c r="K26" i="5" s="1"/>
  <c r="L26" i="5" s="1"/>
  <c r="J16" i="5"/>
  <c r="J6" i="5"/>
  <c r="B16" i="6"/>
  <c r="H87" i="5"/>
  <c r="H77" i="5"/>
  <c r="H67" i="5"/>
  <c r="H57" i="5"/>
  <c r="I57" i="5" s="1"/>
  <c r="H47" i="5"/>
  <c r="H37" i="5"/>
  <c r="H27" i="5"/>
  <c r="H17" i="5"/>
  <c r="H7" i="5"/>
  <c r="J115" i="5"/>
  <c r="K115" i="5" s="1"/>
  <c r="L115" i="5" s="1"/>
  <c r="J105" i="5"/>
  <c r="K105" i="5" s="1"/>
  <c r="L105" i="5" s="1"/>
  <c r="J95" i="5"/>
  <c r="K95" i="5" s="1"/>
  <c r="L95" i="5" s="1"/>
  <c r="J85" i="5"/>
  <c r="J75" i="5"/>
  <c r="K75" i="5" s="1"/>
  <c r="L75" i="5" s="1"/>
  <c r="J65" i="5"/>
  <c r="K65" i="5" s="1"/>
  <c r="L65" i="5" s="1"/>
  <c r="J55" i="5"/>
  <c r="K55" i="5" s="1"/>
  <c r="L55" i="5" s="1"/>
  <c r="J45" i="5"/>
  <c r="J35" i="5"/>
  <c r="J25" i="5"/>
  <c r="K25" i="5" s="1"/>
  <c r="J15" i="5"/>
  <c r="K15" i="5" s="1"/>
  <c r="L15" i="5" s="1"/>
  <c r="J5" i="5"/>
  <c r="C124" i="5"/>
  <c r="B13" i="6"/>
  <c r="J114" i="5"/>
  <c r="J104" i="5"/>
  <c r="K104" i="5" s="1"/>
  <c r="L104" i="5" s="1"/>
  <c r="J94" i="5"/>
  <c r="J84" i="5"/>
  <c r="K84" i="5" s="1"/>
  <c r="J74" i="5"/>
  <c r="J64" i="5"/>
  <c r="J54" i="5"/>
  <c r="K54" i="5" s="1"/>
  <c r="J44" i="5"/>
  <c r="K44" i="5" s="1"/>
  <c r="J34" i="5"/>
  <c r="J24" i="5"/>
  <c r="J14" i="5"/>
  <c r="J4" i="5"/>
  <c r="K4" i="5" s="1"/>
  <c r="B10" i="6"/>
  <c r="J83" i="5"/>
  <c r="J73" i="5"/>
  <c r="K73" i="5" s="1"/>
  <c r="J63" i="5"/>
  <c r="K63" i="5" s="1"/>
  <c r="J53" i="5"/>
  <c r="J43" i="5"/>
  <c r="J33" i="5"/>
  <c r="J23" i="5"/>
  <c r="J13" i="5"/>
  <c r="K13" i="5" s="1"/>
  <c r="J3" i="5"/>
  <c r="K3" i="5" s="1"/>
  <c r="J82" i="5"/>
  <c r="K82" i="5" s="1"/>
  <c r="L82" i="5" s="1"/>
  <c r="J72" i="5"/>
  <c r="K72" i="5" s="1"/>
  <c r="L72" i="5" s="1"/>
  <c r="J62" i="5"/>
  <c r="K62" i="5" s="1"/>
  <c r="L62" i="5" s="1"/>
  <c r="J52" i="5"/>
  <c r="K52" i="5" s="1"/>
  <c r="L52" i="5" s="1"/>
  <c r="J42" i="5"/>
  <c r="J32" i="5"/>
  <c r="J22" i="5"/>
  <c r="J12" i="5"/>
  <c r="J2" i="5"/>
  <c r="A5" i="6"/>
  <c r="B14" i="6"/>
  <c r="C26" i="6"/>
  <c r="J81" i="5"/>
  <c r="J71" i="5"/>
  <c r="J61" i="5"/>
  <c r="J51" i="5"/>
  <c r="J41" i="5"/>
  <c r="K41" i="5" s="1"/>
  <c r="J31" i="5"/>
  <c r="K31" i="5" s="1"/>
  <c r="J21" i="5"/>
  <c r="K21" i="5" s="1"/>
  <c r="J11" i="5"/>
  <c r="K11" i="5" s="1"/>
  <c r="B11" i="6"/>
  <c r="H2" i="5"/>
  <c r="I2" i="5" s="1"/>
  <c r="J90" i="5"/>
  <c r="K90" i="5" s="1"/>
  <c r="J80" i="5"/>
  <c r="K80" i="5" s="1"/>
  <c r="J70" i="5"/>
  <c r="K70" i="5" s="1"/>
  <c r="J60" i="5"/>
  <c r="K60" i="5" s="1"/>
  <c r="J50" i="5"/>
  <c r="K50" i="5" s="1"/>
  <c r="D14" i="6" s="1"/>
  <c r="J40" i="5"/>
  <c r="K40" i="5" s="1"/>
  <c r="J30" i="5"/>
  <c r="J20" i="5"/>
  <c r="J10" i="5"/>
  <c r="K10" i="5" s="1"/>
  <c r="J89" i="5"/>
  <c r="J79" i="5"/>
  <c r="K79" i="5" s="1"/>
  <c r="L79" i="5" s="1"/>
  <c r="J69" i="5"/>
  <c r="K69" i="5" s="1"/>
  <c r="L69" i="5" s="1"/>
  <c r="J59" i="5"/>
  <c r="K59" i="5" s="1"/>
  <c r="L59" i="5" s="1"/>
  <c r="J49" i="5"/>
  <c r="J39" i="5"/>
  <c r="K39" i="5" s="1"/>
  <c r="L39" i="5" s="1"/>
  <c r="J29" i="5"/>
  <c r="J19" i="5"/>
  <c r="J9" i="5"/>
  <c r="K9" i="5" s="1"/>
  <c r="B15" i="6"/>
  <c r="L36" i="5"/>
  <c r="B12" i="6"/>
  <c r="E91" i="5"/>
  <c r="B27" i="6" s="1"/>
  <c r="K15" i="7"/>
  <c r="J19" i="7"/>
  <c r="J24" i="7"/>
  <c r="L57" i="5"/>
  <c r="L49" i="5"/>
  <c r="L29" i="5"/>
  <c r="L19" i="5"/>
  <c r="B81" i="3"/>
  <c r="P14" i="6" l="1"/>
  <c r="L76" i="5"/>
  <c r="L9" i="5"/>
  <c r="P15" i="6"/>
  <c r="D26" i="6"/>
  <c r="O24" i="6" s="1"/>
  <c r="L25" i="5"/>
  <c r="L85" i="5"/>
  <c r="K17" i="5"/>
  <c r="I17" i="5"/>
  <c r="K27" i="5"/>
  <c r="I27" i="5"/>
  <c r="L27" i="5" s="1"/>
  <c r="K101" i="5"/>
  <c r="L101" i="5" s="1"/>
  <c r="L10" i="5"/>
  <c r="K100" i="5"/>
  <c r="L100" i="5" s="1"/>
  <c r="L3" i="5"/>
  <c r="L53" i="5"/>
  <c r="L44" i="5"/>
  <c r="L80" i="5"/>
  <c r="K58" i="5"/>
  <c r="D23" i="6" s="1"/>
  <c r="O21" i="6" s="1"/>
  <c r="I58" i="5"/>
  <c r="L50" i="5"/>
  <c r="B24" i="6"/>
  <c r="K78" i="5"/>
  <c r="I78" i="5"/>
  <c r="L43" i="5"/>
  <c r="L84" i="5"/>
  <c r="L70" i="5"/>
  <c r="K99" i="5"/>
  <c r="L99" i="5" s="1"/>
  <c r="C9" i="6"/>
  <c r="L2" i="5"/>
  <c r="K37" i="5"/>
  <c r="I37" i="5"/>
  <c r="K8" i="5"/>
  <c r="I8" i="5"/>
  <c r="K92" i="5"/>
  <c r="L92" i="5" s="1"/>
  <c r="L21" i="5"/>
  <c r="K109" i="5"/>
  <c r="L109" i="5" s="1"/>
  <c r="K103" i="5"/>
  <c r="L103" i="5" s="1"/>
  <c r="L90" i="5"/>
  <c r="K77" i="5"/>
  <c r="D11" i="6" s="1"/>
  <c r="I77" i="5"/>
  <c r="K48" i="5"/>
  <c r="I48" i="5"/>
  <c r="L33" i="5"/>
  <c r="B17" i="6"/>
  <c r="B18" i="6" s="1"/>
  <c r="L40" i="5"/>
  <c r="C14" i="6"/>
  <c r="O14" i="6" s="1"/>
  <c r="L45" i="5"/>
  <c r="K88" i="5"/>
  <c r="I88" i="5"/>
  <c r="K110" i="5"/>
  <c r="L110" i="5" s="1"/>
  <c r="K93" i="5"/>
  <c r="L93" i="5" s="1"/>
  <c r="L60" i="5"/>
  <c r="B26" i="6"/>
  <c r="K47" i="5"/>
  <c r="I47" i="5"/>
  <c r="L47" i="5" s="1"/>
  <c r="K18" i="5"/>
  <c r="L18" i="5" s="1"/>
  <c r="I18" i="5"/>
  <c r="K111" i="5"/>
  <c r="L111" i="5" s="1"/>
  <c r="L11" i="5"/>
  <c r="L13" i="5"/>
  <c r="L63" i="5"/>
  <c r="L4" i="5"/>
  <c r="L54" i="5"/>
  <c r="K108" i="5"/>
  <c r="L108" i="5" s="1"/>
  <c r="B25" i="6"/>
  <c r="L16" i="5"/>
  <c r="K7" i="5"/>
  <c r="K124" i="5" s="1"/>
  <c r="I7" i="5"/>
  <c r="K28" i="5"/>
  <c r="I28" i="5"/>
  <c r="C22" i="6" s="1"/>
  <c r="C15" i="6"/>
  <c r="O15" i="6" s="1"/>
  <c r="L31" i="5"/>
  <c r="L41" i="5"/>
  <c r="C12" i="6"/>
  <c r="O12" i="6" s="1"/>
  <c r="H91" i="5"/>
  <c r="K91" i="5" s="1"/>
  <c r="L91" i="5" s="1"/>
  <c r="J91" i="5"/>
  <c r="K87" i="5"/>
  <c r="I87" i="5"/>
  <c r="L87" i="5" s="1"/>
  <c r="L83" i="5"/>
  <c r="L35" i="5"/>
  <c r="K68" i="5"/>
  <c r="I68" i="5"/>
  <c r="C10" i="6" s="1"/>
  <c r="O10" i="6" s="1"/>
  <c r="L56" i="5"/>
  <c r="D16" i="6"/>
  <c r="P16" i="6" s="1"/>
  <c r="B23" i="6"/>
  <c r="B22" i="6"/>
  <c r="K67" i="5"/>
  <c r="I67" i="5"/>
  <c r="L67" i="5" s="1"/>
  <c r="K38" i="5"/>
  <c r="I38" i="5"/>
  <c r="C24" i="6"/>
  <c r="L73" i="5"/>
  <c r="C11" i="6"/>
  <c r="O11" i="6" s="1"/>
  <c r="L14" i="5"/>
  <c r="L64" i="5"/>
  <c r="L30" i="5"/>
  <c r="O22" i="6"/>
  <c r="E11" i="6" l="1"/>
  <c r="P11" i="6"/>
  <c r="D12" i="6"/>
  <c r="L68" i="5"/>
  <c r="L38" i="5"/>
  <c r="L28" i="5"/>
  <c r="L77" i="5"/>
  <c r="D13" i="6"/>
  <c r="L78" i="5"/>
  <c r="O9" i="6"/>
  <c r="D22" i="6"/>
  <c r="L8" i="5"/>
  <c r="L48" i="5"/>
  <c r="L37" i="5"/>
  <c r="C13" i="6"/>
  <c r="O13" i="6" s="1"/>
  <c r="D9" i="6"/>
  <c r="L58" i="5"/>
  <c r="D10" i="6"/>
  <c r="L17" i="5"/>
  <c r="C27" i="6"/>
  <c r="D27" i="6"/>
  <c r="O25" i="6" s="1"/>
  <c r="E16" i="6"/>
  <c r="L7" i="5"/>
  <c r="L124" i="5" s="1"/>
  <c r="C23" i="6"/>
  <c r="L88" i="5"/>
  <c r="I124" i="5"/>
  <c r="D5" i="6"/>
  <c r="E15" i="6"/>
  <c r="B28" i="6"/>
  <c r="C5" i="6"/>
  <c r="E14" i="6"/>
  <c r="C28" i="6" l="1"/>
  <c r="E5" i="6"/>
  <c r="F5" i="6" s="1"/>
  <c r="D17" i="6"/>
  <c r="D18" i="6" s="1"/>
  <c r="E12" i="6"/>
  <c r="P12" i="6"/>
  <c r="O20" i="6"/>
  <c r="D28" i="6"/>
  <c r="C17" i="6"/>
  <c r="C18" i="6" s="1"/>
  <c r="E9" i="6"/>
  <c r="P9" i="6"/>
  <c r="P13" i="6"/>
  <c r="E13" i="6"/>
  <c r="E10" i="6"/>
  <c r="P10" i="6"/>
  <c r="E24" i="6" l="1"/>
  <c r="E25" i="6"/>
  <c r="E26" i="6"/>
  <c r="E27" i="6"/>
  <c r="E23" i="6"/>
  <c r="E22" i="6"/>
  <c r="E28" i="6" s="1"/>
  <c r="E17" i="6"/>
  <c r="E1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Casto</author>
  </authors>
  <commentList>
    <comment ref="D5" authorId="0" shapeId="0" xr:uid="{BE00DB7D-85CB-6C40-98A0-78D651EDE091}">
      <text>
        <r>
          <rPr>
            <b/>
            <sz val="10"/>
            <color rgb="FF000000"/>
            <rFont val="Tahoma"/>
            <family val="2"/>
          </rPr>
          <t>Robert Casto:</t>
        </r>
        <r>
          <rPr>
            <sz val="10"/>
            <color rgb="FF000000"/>
            <rFont val="Tahoma"/>
            <family val="2"/>
          </rPr>
          <t xml:space="preserve">
Model estimate, not a market valuation. Driven by the category multiples on the Assumptions sheet. Replace those with GoCollect or eBay sold-comp data for a real number.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Casto</author>
  </authors>
  <commentList>
    <comment ref="M2" authorId="0" shapeId="0" xr:uid="{BE930FDC-97D2-5949-9B80-0BF5C65D56B1}">
      <text>
        <r>
          <rPr>
            <b/>
            <sz val="10"/>
            <color rgb="FF000000"/>
            <rFont val="Tahoma"/>
            <family val="2"/>
          </rPr>
          <t>Raw, read/handled condition per owner. Estimate, NOT a confirmed sold comp. Anchor: Bleeding Cool reported raw Cover A selling $10-$20 at launch (Oct 2024) - https://bleedingcool.com/comics/increase-the-price-of-your-absolute-batman-1-by-ripping-off-its-cover/ - adjusted upward for two years of demand and the announced animated series. The $250+ figures seen in listings are CGC 9.8 slabs and do not apply to a raw handled copy.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Casto</author>
  </authors>
  <commentList>
    <comment ref="F4" authorId="0" shapeId="0" xr:uid="{00000000-0006-0000-0100-000001000000}">
      <text>
        <r>
          <rPr>
            <sz val="11"/>
            <color theme="1"/>
            <rFont val="Aptos Narrow"/>
          </rPr>
          <t>Robert Casto:
Source: DC Comics, https://www.dc.com/comics/absolute-batman-2024/absolute-batman-1 — lists #17-23 as Available Now. #19 on sale 2026-04-15; #20 on sale 2026-05-13.</t>
        </r>
      </text>
    </comment>
    <comment ref="G4" authorId="0" shapeId="0" xr:uid="{00000000-0006-0000-0100-000002000000}">
      <text>
        <r>
          <rPr>
            <sz val="11"/>
            <color theme="1"/>
            <rFont val="Aptos Narrow"/>
          </rPr>
          <t>Robert Casto:
Source: DC Comics, https://www.dc.com/comics/absolute-batman-2024/absolute-batman-1 — lists #17-23 as Available Now. #19 on sale 2026-04-15; #20 on sale 2026-05-13.</t>
        </r>
      </text>
    </comment>
    <comment ref="F5" authorId="0" shapeId="0" xr:uid="{00000000-0006-0000-0100-000003000000}">
      <text>
        <r>
          <rPr>
            <sz val="11"/>
            <color theme="1"/>
            <rFont val="Aptos Narrow"/>
          </rPr>
          <t>Robert Casto:
Source: DC Comics, https://www.dc.com/comics/absolute-superman-2024/absolute-superman-2024-23 — #23 on sale 2026-09-02; nothing above #23 listed.</t>
        </r>
      </text>
    </comment>
    <comment ref="G5" authorId="0" shapeId="0" xr:uid="{00000000-0006-0000-0100-000004000000}">
      <text>
        <r>
          <rPr>
            <sz val="11"/>
            <color theme="1"/>
            <rFont val="Aptos Narrow"/>
          </rPr>
          <t>Robert Casto:
Source: DC Comics, https://www.dc.com/comics/absolute-superman-2024/absolute-superman-2024-23 — #23 on sale 2026-09-02; nothing above #23 listed.</t>
        </r>
      </text>
    </comment>
    <comment ref="F6" authorId="0" shapeId="0" xr:uid="{00000000-0006-0000-0100-000005000000}">
      <text>
        <r>
          <rPr>
            <sz val="11"/>
            <color theme="1"/>
            <rFont val="Aptos Narrow"/>
          </rPr>
          <t>Robert Casto:
Source: DC Comics, https://www.dc.com/comics/absolute-wonder-woman-2024/absolute-wonder-woman-2024-22</t>
        </r>
      </text>
    </comment>
    <comment ref="G6" authorId="0" shapeId="0" xr:uid="{00000000-0006-0000-0100-000006000000}">
      <text>
        <r>
          <rPr>
            <sz val="11"/>
            <color theme="1"/>
            <rFont val="Aptos Narrow"/>
          </rPr>
          <t>Robert Casto:
Source: DC Comics, https://www.dc.com/comics/absolute-wonder-woman-2024/absolute-wonder-woman-2024-22</t>
        </r>
      </text>
    </comment>
    <comment ref="F7" authorId="0" shapeId="0" xr:uid="{00000000-0006-0000-0100-000007000000}">
      <text>
        <r>
          <rPr>
            <sz val="11"/>
            <color theme="1"/>
            <rFont val="Aptos Narrow"/>
          </rPr>
          <t>Robert Casto:
Source: DC Comics, https://www.dc.com/comics/absolute-flash-2025/absolute-flash-2025-18 — lists #18 as latest available.</t>
        </r>
      </text>
    </comment>
    <comment ref="G7" authorId="0" shapeId="0" xr:uid="{00000000-0006-0000-0100-000008000000}">
      <text>
        <r>
          <rPr>
            <sz val="11"/>
            <color theme="1"/>
            <rFont val="Aptos Narrow"/>
          </rPr>
          <t>Robert Casto:
Source: DC Comics, https://www.dc.com/comics/absolute-flash-2025/absolute-flash-2025-18 — lists #18 as latest available.</t>
        </r>
      </text>
    </comment>
    <comment ref="F9" authorId="0" shapeId="0" xr:uid="{00000000-0006-0000-0100-000009000000}">
      <text>
        <r>
          <rPr>
            <sz val="11"/>
            <color theme="1"/>
            <rFont val="Aptos Narrow"/>
          </rPr>
          <t>Robert Casto:
Source: DC Comics, https://www.dc.com/comics/absolute-martian-manhunter-2025/absolute-martian-manhunter-2025-12 — series ran 2025-03-26 to 2026-07-01, 12 issues.</t>
        </r>
      </text>
    </comment>
    <comment ref="G9" authorId="0" shapeId="0" xr:uid="{00000000-0006-0000-0100-00000A000000}">
      <text>
        <r>
          <rPr>
            <sz val="11"/>
            <color theme="1"/>
            <rFont val="Aptos Narrow"/>
          </rPr>
          <t>Robert Casto:
Source: DC Comics, https://www.dc.com/comics/absolute-martian-manhunter-2025/absolute-martian-manhunter-2025-12 — series ran 2025-03-26 to 2026-07-01, 12 issues.</t>
        </r>
      </text>
    </comment>
    <comment ref="F10" authorId="0" shapeId="0" xr:uid="{00000000-0006-0000-0100-00000B000000}">
      <text>
        <r>
          <rPr>
            <sz val="11"/>
            <color theme="1"/>
            <rFont val="Aptos Narrow"/>
          </rPr>
          <t>Robert Casto:
Source: DC Comics, https://www.dc.com/comics/absolute-catwoman-2026/absolute-catwoman-2026-3 — #3 on sale 2026-08-12, latest available. Six-issue series; #4 resumes October 2026.</t>
        </r>
      </text>
    </comment>
    <comment ref="G10" authorId="0" shapeId="0" xr:uid="{00000000-0006-0000-0100-00000C000000}">
      <text>
        <r>
          <rPr>
            <sz val="11"/>
            <color theme="1"/>
            <rFont val="Aptos Narrow"/>
          </rPr>
          <t>Robert Casto:
Source: DC Comics, https://www.dc.com/comics/absolute-catwoman-2026/absolute-catwoman-2026-3 — #3 on sale 2026-08-12, latest available. Six-issue series; #4 resumes October 2026.</t>
        </r>
      </text>
    </comment>
    <comment ref="F11" authorId="0" shapeId="0" xr:uid="{00000000-0006-0000-0100-00000D000000}">
      <text>
        <r>
          <rPr>
            <sz val="11"/>
            <color theme="1"/>
            <rFont val="Aptos Narrow"/>
          </rPr>
          <t>Robert Casto:
Source: DC Comics, https://www.dc.com/comics/absolute-green-arrow-2026-4 — #4 on sale 2026-08-19; #3 on sale 2026-07-15.</t>
        </r>
      </text>
    </comment>
    <comment ref="G11" authorId="0" shapeId="0" xr:uid="{00000000-0006-0000-0100-00000E000000}">
      <text>
        <r>
          <rPr>
            <sz val="11"/>
            <color rgb="FF000000"/>
            <rFont val="Aptos Narrow"/>
          </rPr>
          <t xml:space="preserve">Robert Casto:
</t>
        </r>
        <r>
          <rPr>
            <sz val="11"/>
            <color rgb="FF000000"/>
            <rFont val="Aptos Narrow"/>
          </rPr>
          <t>Source: DC Comics, https://www.dc.com/comics/absolute-green-arrow-2026-4 — #4 on sale 2026-08-19; #3 on sale 2026-07-15.</t>
        </r>
      </text>
    </comment>
    <comment ref="F14" authorId="0" shapeId="0" xr:uid="{00000000-0006-0000-0100-00000F000000}">
      <text>
        <r>
          <rPr>
            <sz val="11"/>
            <color theme="1"/>
            <rFont val="Aptos Narrow"/>
          </rPr>
          <t>Robert Casto:
Source: DC Comics, https://www.dc.com/comics/absolute-wonder-woman-2024/absolute-wonder-woman-2026-annual-2026-1</t>
        </r>
      </text>
    </comment>
    <comment ref="G14" authorId="0" shapeId="0" xr:uid="{00000000-0006-0000-0100-000010000000}">
      <text>
        <r>
          <rPr>
            <sz val="11"/>
            <color theme="1"/>
            <rFont val="Aptos Narrow"/>
          </rPr>
          <t>Robert Casto:
Source: DC Comics, https://www.dc.com/comics/absolute-wonder-woman-2024/absolute-wonder-woman-2026-annual-2026-1</t>
        </r>
      </text>
    </comment>
    <comment ref="F15" authorId="0" shapeId="0" xr:uid="{00000000-0006-0000-0100-000011000000}">
      <text>
        <r>
          <rPr>
            <sz val="11"/>
            <color theme="1"/>
            <rFont val="Aptos Narrow"/>
          </rPr>
          <t>Robert Casto:
Source: DC Comics, https://www.dc.com/blog/2026-06-09/absolute-catwoman-1-returns-to-press-with-new-second-printing-covers — Catwoman spinoff one-shot publishing 2026-09-09, between Catwoman #3 and #4.</t>
        </r>
      </text>
    </comment>
    <comment ref="G15" authorId="0" shapeId="0" xr:uid="{00000000-0006-0000-0100-000012000000}">
      <text>
        <r>
          <rPr>
            <sz val="11"/>
            <color rgb="FF000000"/>
            <rFont val="Aptos Narrow"/>
          </rPr>
          <t xml:space="preserve">Robert Casto:
</t>
        </r>
        <r>
          <rPr>
            <sz val="11"/>
            <color rgb="FF000000"/>
            <rFont val="Aptos Narrow"/>
          </rPr>
          <t>Source: DC Comics, https://www.dc.com/blog/2026-06-09/absolute-catwoman-1-returns-to-press-with-new-second-printing-covers — Catwoman spinoff one-shot publishing 2026-09-09, between Catwoman #3 and #4.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Casto</author>
  </authors>
  <commentList>
    <comment ref="D13" authorId="0" shapeId="0" xr:uid="{00000000-0006-0000-0200-000001000000}">
      <text>
        <r>
          <rPr>
            <sz val="11"/>
            <color theme="1"/>
            <rFont val="Aptos Narrow"/>
          </rPr>
          <t>Robert Casto:
Source: Walt's Comic Shop, https://waltscomicshop.com/collections/bundles — lists Absolute Superman #1-10, Wonder Woman #1-11, Batman #1-15 Mega-Bundles. Shipping note from https://waltscomicshop.com/collections/absolute-superman</t>
        </r>
      </text>
    </comment>
    <comment ref="D14" authorId="0" shapeId="0" xr:uid="{00000000-0006-0000-0200-000002000000}">
      <text>
        <r>
          <rPr>
            <sz val="11"/>
            <color theme="1"/>
            <rFont val="Aptos Narrow"/>
          </rPr>
          <t>Robert Casto:
Source: Third Eye Comics, https://shop.thirdeyecomics.com/collections/absolute-batman-all-single-issues and /collections/absolute-green-lantern — NM 9.4 grading standard stated on product pages.</t>
        </r>
      </text>
    </comment>
    <comment ref="D15" authorId="0" shapeId="0" xr:uid="{00000000-0006-0000-0200-000003000000}">
      <text>
        <r>
          <rPr>
            <sz val="11"/>
            <color theme="1"/>
            <rFont val="Aptos Narrow"/>
          </rPr>
          <t>Robert Casto:
Source: G-Mart Comics, https://www.g-mart.com/static/c09782.html — back-issue list by printing; advertises up to 50% off subscription service.</t>
        </r>
      </text>
    </comment>
    <comment ref="D16" authorId="0" shapeId="0" xr:uid="{00000000-0006-0000-0200-000004000000}">
      <text>
        <r>
          <rPr>
            <sz val="11"/>
            <color theme="1"/>
            <rFont val="Aptos Narrow"/>
          </rPr>
          <t>Robert Casto:
Source: The Comic Mint, https://thecomicmint.com/collections/absolute-batman — Absolute Batman #22 Derrick Chew and Brett Bean variants listed at $5.95 each.</t>
        </r>
      </text>
    </comment>
    <comment ref="D17" authorId="0" shapeId="0" xr:uid="{00000000-0006-0000-0200-000005000000}">
      <text>
        <r>
          <rPr>
            <sz val="11"/>
            <color theme="1"/>
            <rFont val="Aptos Narrow"/>
          </rPr>
          <t>Robert Casto:
Source: ecgce, https://www.ecgce.com/products/absolute-superman-reprint-bundle-1-10</t>
        </r>
      </text>
    </comment>
    <comment ref="D18" authorId="0" shapeId="0" xr:uid="{00000000-0006-0000-0200-000006000000}">
      <text>
        <r>
          <rPr>
            <sz val="11"/>
            <color theme="1"/>
            <rFont val="Aptos Narrow"/>
          </rPr>
          <t>Robert Casto:
Source: MyComicShop, https://www.mycomicshop.com/search?q=Absolute+Batman+19 — 'This item is not in stock at MyComicShop'; listings shown are from eBay via affiliate program.</t>
        </r>
      </text>
    </comment>
    <comment ref="D19" authorId="0" shapeId="0" xr:uid="{00000000-0006-0000-0200-000007000000}">
      <text>
        <r>
          <rPr>
            <sz val="11"/>
            <color theme="1"/>
            <rFont val="Aptos Narrow"/>
          </rPr>
          <t>Robert Casto:
Source: eBay seller listings observed 2026-09-08, incl. a 'Pick Your Comic' Absolute Batman listing at US $2.50/issue and Absolute Batman #9B at US $6.19. Marketplace prices are volatile; verify before ordering.</t>
        </r>
      </text>
    </comment>
    <comment ref="F39" authorId="0" shapeId="0" xr:uid="{64AEAAE0-D07B-0B48-922A-2843105EF950}">
      <text>
        <r>
          <rPr>
            <b/>
            <sz val="10"/>
            <color rgb="FF000000"/>
            <rFont val="Tahoma"/>
            <family val="2"/>
          </rPr>
          <t>Robert Casto:</t>
        </r>
        <r>
          <rPr>
            <sz val="10"/>
            <color rgb="FF000000"/>
            <rFont val="Tahoma"/>
            <family val="2"/>
          </rPr>
          <t xml:space="preserve">
Third Eye re-check 2026-09-09: all covers of Absolute Green Arrow #3 (A/B/C/D/E and the all-cover bundle) show Sold out. Source: Third Eye Comics, https://shop.thirdeyecomics.com/collections/absolute-green-arrow</t>
        </r>
      </text>
    </comment>
    <comment ref="F48" authorId="0" shapeId="0" xr:uid="{B32A51C3-6376-9246-A6FA-95A0764AF0C7}">
      <text>
        <r>
          <rPr>
            <b/>
            <sz val="10"/>
            <color rgb="FF000000"/>
            <rFont val="Tahoma"/>
            <family val="2"/>
          </rPr>
          <t>Robert Casto:</t>
        </r>
        <r>
          <rPr>
            <sz val="10"/>
            <color rgb="FF000000"/>
            <rFont val="Tahoma"/>
            <family val="2"/>
          </rPr>
          <t xml:space="preserve">
Third Eye re-check 2026-09-09: ABSOLUTE WONDER WOMAN #11 Third Printing listed at $4.99 and in stock (1st and 2nd printings Sold out). Source: Third Eye Comics, https://shop.thirdeyecomics.com/collections/absolute-wonder-woman</t>
        </r>
      </text>
    </comment>
    <comment ref="F52" authorId="0" shapeId="0" xr:uid="{CA657A2F-5736-8544-A41B-D07A68598E0F}">
      <text>
        <r>
          <rPr>
            <b/>
            <sz val="10"/>
            <color rgb="FF000000"/>
            <rFont val="Tahoma"/>
            <family val="2"/>
          </rPr>
          <t>Robert Casto:</t>
        </r>
        <r>
          <rPr>
            <sz val="10"/>
            <color rgb="FF000000"/>
            <rFont val="Tahoma"/>
            <family val="2"/>
          </rPr>
          <t xml:space="preserve">
Third Eye re-check 2026-09-09: Wonder Woman #20 covers A-D all Sold out. Source: Third Eye Comics, https://shop.thirdeyecomics.com/collections/absolute-wonder-woman</t>
        </r>
      </text>
    </comment>
    <comment ref="F53" authorId="0" shapeId="0" xr:uid="{48617E9A-4433-984D-896B-C8A830420FB3}">
      <text>
        <r>
          <rPr>
            <b/>
            <sz val="10"/>
            <color rgb="FF000000"/>
            <rFont val="Tahoma"/>
            <family val="2"/>
          </rPr>
          <t>Robert Casto:</t>
        </r>
        <r>
          <rPr>
            <sz val="10"/>
            <color rgb="FF000000"/>
            <rFont val="Tahoma"/>
            <family val="2"/>
          </rPr>
          <t xml:space="preserve">
Third Eye re-check 2026-09-09: Wonder Woman #21 covers A-D all Sold out. Source: Third Eye Comics, https://shop.thirdeyecomics.com/collections/absolute-wonder-woman</t>
        </r>
      </text>
    </comment>
    <comment ref="F57" authorId="0" shapeId="0" xr:uid="{5E6C63C8-5B4D-624B-BD98-3EAA4FC2B53B}">
      <text>
        <r>
          <rPr>
            <b/>
            <sz val="10"/>
            <color rgb="FF000000"/>
            <rFont val="Tahoma"/>
            <family val="2"/>
          </rPr>
          <t>Robert Casto:</t>
        </r>
        <r>
          <rPr>
            <sz val="10"/>
            <color rgb="FF000000"/>
            <rFont val="Tahoma"/>
            <family val="2"/>
          </rPr>
          <t xml:space="preserve">
Third Eye re-check 2026-09-09: Green Lantern #13 covers A-D all Sold out; no later printing listed. Source: Third Eye Comics, https://shop.thirdeyecomics.com/collections/absolute-green-lantern</t>
        </r>
      </text>
    </comment>
    <comment ref="F74" authorId="0" shapeId="0" xr:uid="{4E84FBC3-DD50-8E48-A8C2-926E51A59D09}">
      <text>
        <r>
          <rPr>
            <b/>
            <sz val="10"/>
            <color rgb="FF000000"/>
            <rFont val="Tahoma"/>
            <family val="2"/>
          </rPr>
          <t>Robert Casto:</t>
        </r>
        <r>
          <rPr>
            <sz val="10"/>
            <color rgb="FF000000"/>
            <rFont val="Tahoma"/>
            <family val="2"/>
          </rPr>
          <t xml:space="preserve">
Third Eye re-check 2026-09-09: ABSOLUTE CASSANDRA CAIN THE SHADOWS HAND #1 (ONE SHOT) CVR A BENGAL, pre-order $4.99, estimated release 09/16/2026, available. Signed-by-Che-Grayson editions listed at $19.99. Source: Third Eye Comics, https://shop.thirdeyecomics.com/products/jul26cat-absolute-cassandra-cain-the-shadows-hand-1-one-shot-cvr-a-bengal</t>
        </r>
      </text>
    </comment>
    <comment ref="B84" authorId="0" shapeId="0" xr:uid="{00000000-0006-0000-0200-000008000000}">
      <text>
        <r>
          <rPr>
            <sz val="11"/>
            <color theme="1"/>
            <rFont val="Aptos Narrow"/>
          </rPr>
          <t>Robert Casto:
Source: DC Comics, https://www.dc.com/comics/absolute-batman-2024/absolute-batman-2024-20 — U.S. Price 4.99 for #20; recent issues listed at 5.99 on MyComicShop cover-price data.</t>
        </r>
      </text>
    </comment>
    <comment ref="B85" authorId="0" shapeId="0" xr:uid="{00000000-0006-0000-0200-000009000000}">
      <text>
        <r>
          <rPr>
            <sz val="11"/>
            <color theme="1"/>
            <rFont val="Aptos Narrow"/>
          </rPr>
          <t>Robert Casto:
Source: eBay 'Absolute Batman Issues Pick Your Comic' listing, US $2.50 per issue, observed 2026-09-08. Marketplace price — volatile, verify.</t>
        </r>
      </text>
    </comment>
    <comment ref="B86" authorId="0" shapeId="0" xr:uid="{00000000-0006-0000-0200-00000A000000}">
      <text>
        <r>
          <rPr>
            <sz val="11"/>
            <color theme="1"/>
            <rFont val="Aptos Narrow"/>
          </rPr>
          <t>Robert Casto:
Source: The Comic Mint (Absolute Batman #22 variant, $5.95) https://thecomicmint.com/collections/absolute-batman ; eBay Absolute Batman #9B at $6.19, observed 2026-09-08.</t>
        </r>
      </text>
    </comment>
    <comment ref="A106" authorId="0" shapeId="0" xr:uid="{59855673-168E-2746-8BC5-7704956EB765}">
      <text>
        <r>
          <rPr>
            <b/>
            <sz val="10"/>
            <color rgb="FF000000"/>
            <rFont val="Tahoma"/>
            <family val="2"/>
          </rPr>
          <t>Robert Casto:</t>
        </r>
        <r>
          <rPr>
            <sz val="10"/>
            <color rgb="FF000000"/>
            <rFont val="Tahoma"/>
            <family val="2"/>
          </rPr>
          <t xml:space="preserve">
Source: Popverse, https://www.thepopverse.com/comics-absolute-batman-wonder-woman-superman-martian-manhunter-green-lantern-flash-march-2026</t>
        </r>
      </text>
    </comment>
    <comment ref="A107" authorId="0" shapeId="0" xr:uid="{331023E5-6AF4-004B-A529-CBE78FB6EEE1}">
      <text>
        <r>
          <rPr>
            <b/>
            <sz val="10"/>
            <color rgb="FF000000"/>
            <rFont val="Tahoma"/>
            <family val="2"/>
          </rPr>
          <t>Robert Casto:</t>
        </r>
        <r>
          <rPr>
            <sz val="10"/>
            <color rgb="FF000000"/>
            <rFont val="Tahoma"/>
            <family val="2"/>
          </rPr>
          <t xml:space="preserve">
Source: Third Eye Comics collection pages for Absolute Wonder Woman, Superman, Flash, Green Lantern, Green Arrow and Martian Manhunter, checked 2026-09-09. https://shop.thirdeyecomics.com</t>
        </r>
      </text>
    </comment>
    <comment ref="A108" authorId="0" shapeId="0" xr:uid="{0F9E7CEA-9FC1-1749-BDA3-224B0023840F}">
      <text>
        <r>
          <rPr>
            <b/>
            <sz val="10"/>
            <color rgb="FF000000"/>
            <rFont val="Tahoma"/>
            <family val="2"/>
          </rPr>
          <t>Robert Casto:</t>
        </r>
        <r>
          <rPr>
            <sz val="10"/>
            <color rgb="FF000000"/>
            <rFont val="Tahoma"/>
            <family val="2"/>
          </rPr>
          <t xml:space="preserve">
Source: Third Eye Comics, https://shop.thirdeyecomics.com/collections/absolute-wonder-woman (checked 2026-09-09)</t>
        </r>
      </text>
    </comment>
  </commentList>
</comments>
</file>

<file path=xl/sharedStrings.xml><?xml version="1.0" encoding="utf-8"?>
<sst xmlns="http://schemas.openxmlformats.org/spreadsheetml/2006/main" count="1972" uniqueCount="623">
  <si>
    <t>Series</t>
  </si>
  <si>
    <t>Issue</t>
  </si>
  <si>
    <t>Variant Description</t>
  </si>
  <si>
    <t>Publisher</t>
  </si>
  <si>
    <t>Release Date</t>
  </si>
  <si>
    <t>Format</t>
  </si>
  <si>
    <t>Added Date</t>
  </si>
  <si>
    <t>Variant</t>
  </si>
  <si>
    <t>Barcode</t>
  </si>
  <si>
    <t>Full Title</t>
  </si>
  <si>
    <t>Core ComicID</t>
  </si>
  <si>
    <t>Core SeriesID</t>
  </si>
  <si>
    <t>Title</t>
  </si>
  <si>
    <t>Subtitle</t>
  </si>
  <si>
    <t>Story Arc</t>
  </si>
  <si>
    <t>Series Group</t>
  </si>
  <si>
    <t>Release Year</t>
  </si>
  <si>
    <t>Issue No.</t>
  </si>
  <si>
    <t>Cover Date</t>
  </si>
  <si>
    <t>Cover Year</t>
  </si>
  <si>
    <t>Absolute Batman</t>
  </si>
  <si>
    <t>1A</t>
  </si>
  <si>
    <t>Nick Dragotta Regular</t>
  </si>
  <si>
    <t>DC Comics</t>
  </si>
  <si>
    <t>Comic</t>
  </si>
  <si>
    <t>A</t>
  </si>
  <si>
    <t>The Zoo</t>
  </si>
  <si>
    <t>Part 1</t>
  </si>
  <si>
    <t>2G</t>
  </si>
  <si>
    <t>Dan Panosian Variant</t>
  </si>
  <si>
    <t>G</t>
  </si>
  <si>
    <t>Part 2</t>
  </si>
  <si>
    <t>3C</t>
  </si>
  <si>
    <t>Gabriele Dell'Otto Variant</t>
  </si>
  <si>
    <t>C</t>
  </si>
  <si>
    <t>Part 3</t>
  </si>
  <si>
    <t>4A</t>
  </si>
  <si>
    <t>Part 4</t>
  </si>
  <si>
    <t>5A</t>
  </si>
  <si>
    <t>6C</t>
  </si>
  <si>
    <t>Simon Bisley Variant</t>
  </si>
  <si>
    <t>Part 6</t>
  </si>
  <si>
    <t>7B</t>
  </si>
  <si>
    <t>Mico Suayan Variant</t>
  </si>
  <si>
    <t>B</t>
  </si>
  <si>
    <t>Absolute Zero, Absolute Zero</t>
  </si>
  <si>
    <t>Absolute Zero</t>
  </si>
  <si>
    <t>9A</t>
  </si>
  <si>
    <t>Abomination</t>
  </si>
  <si>
    <t>9F</t>
  </si>
  <si>
    <t>Brian Bolland Variant</t>
  </si>
  <si>
    <t>F</t>
  </si>
  <si>
    <t>12B</t>
  </si>
  <si>
    <t>Paul Pope Variant</t>
  </si>
  <si>
    <t>13A</t>
  </si>
  <si>
    <t>Part 5</t>
  </si>
  <si>
    <t>14K</t>
  </si>
  <si>
    <t>2nd Printing Nick Dragotta</t>
  </si>
  <si>
    <t>K</t>
  </si>
  <si>
    <t>Conclusion</t>
  </si>
  <si>
    <t>16L</t>
  </si>
  <si>
    <t>2nd Printing Nick Dragotta Foil Variant</t>
  </si>
  <si>
    <t>L</t>
  </si>
  <si>
    <t>Bat Out of Hell</t>
  </si>
  <si>
    <t>17B</t>
  </si>
  <si>
    <t>Clayton Crain Variant</t>
  </si>
  <si>
    <t>The Seventh Kingdom</t>
  </si>
  <si>
    <t>18A</t>
  </si>
  <si>
    <t>Absolute Batman Annual</t>
  </si>
  <si>
    <t>1K</t>
  </si>
  <si>
    <t>3rd Printing Daniel Warren Johnson</t>
  </si>
  <si>
    <t>no title / Sanctuary / Let's Learn About Bats!</t>
  </si>
  <si>
    <t>Absolute Batman: Ark-M Special</t>
  </si>
  <si>
    <t>1F</t>
  </si>
  <si>
    <t>2nd Printing Derrick Chew Variant</t>
  </si>
  <si>
    <t>A History of Arkham</t>
  </si>
  <si>
    <t>Absolute Catwoman</t>
  </si>
  <si>
    <t>1B</t>
  </si>
  <si>
    <t>David Nakayama Variant</t>
  </si>
  <si>
    <t>The Yarn, Chapter One</t>
  </si>
  <si>
    <t>Chapter One</t>
  </si>
  <si>
    <t>The Yarn</t>
  </si>
  <si>
    <t>2B</t>
  </si>
  <si>
    <t>Leirix Li Variant</t>
  </si>
  <si>
    <t>The Yarn, Chapter Two</t>
  </si>
  <si>
    <t>Chapter Two</t>
  </si>
  <si>
    <t>Chapter 2</t>
  </si>
  <si>
    <t>3A</t>
  </si>
  <si>
    <t>Bengal Amari Regular</t>
  </si>
  <si>
    <t>The Yarn, Chapter Three</t>
  </si>
  <si>
    <t>Chapter Three</t>
  </si>
  <si>
    <t>Absolute Evil</t>
  </si>
  <si>
    <t>Giussepe Camuncoli Regular</t>
  </si>
  <si>
    <t>Absolute Justice</t>
  </si>
  <si>
    <t>Absolute Flash</t>
  </si>
  <si>
    <t>Nick Robles Foil Variant</t>
  </si>
  <si>
    <t>Of Two Worlds</t>
  </si>
  <si>
    <t>2D</t>
  </si>
  <si>
    <t>D</t>
  </si>
  <si>
    <t>3F</t>
  </si>
  <si>
    <t>2nd Printing Nick Robles</t>
  </si>
  <si>
    <t>4F</t>
  </si>
  <si>
    <t>The Trials of the Flash: Iron Heights</t>
  </si>
  <si>
    <t>Iron Heights: Part 1</t>
  </si>
  <si>
    <t>Nick Robles Regular</t>
  </si>
  <si>
    <t>The Trials of the Flash</t>
  </si>
  <si>
    <t>Iron Heights: Part 2</t>
  </si>
  <si>
    <t>6A</t>
  </si>
  <si>
    <t>Interlude</t>
  </si>
  <si>
    <t>The Rogues</t>
  </si>
  <si>
    <t>7A</t>
  </si>
  <si>
    <t>11B</t>
  </si>
  <si>
    <t>Dustin Nguyen Variant</t>
  </si>
  <si>
    <t>The War of the Flashes</t>
  </si>
  <si>
    <t>12A</t>
  </si>
  <si>
    <t>13D</t>
  </si>
  <si>
    <t>Scott Hepburn Variant</t>
  </si>
  <si>
    <t>Mirror Master</t>
  </si>
  <si>
    <t>17D</t>
  </si>
  <si>
    <t>Carmine Di Giandomenico Variant</t>
  </si>
  <si>
    <t>Gorilla City, Part 2</t>
  </si>
  <si>
    <t>Absolute Green Arrow</t>
  </si>
  <si>
    <t>Rafael Albuquerque Regular</t>
  </si>
  <si>
    <t>The Longbow Killer</t>
  </si>
  <si>
    <t>Chapter 1</t>
  </si>
  <si>
    <t>2A</t>
  </si>
  <si>
    <t>Absolute Green Lantern</t>
  </si>
  <si>
    <t>1L</t>
  </si>
  <si>
    <t>Jahnoy Lindsay Foil Variant</t>
  </si>
  <si>
    <t>Episode One</t>
  </si>
  <si>
    <t>Jahnoy Lindsay Regular</t>
  </si>
  <si>
    <t>Episode Two</t>
  </si>
  <si>
    <t>4B</t>
  </si>
  <si>
    <t>Juliet Nneka Variant</t>
  </si>
  <si>
    <t>Episode Four</t>
  </si>
  <si>
    <t>Episode Five</t>
  </si>
  <si>
    <t>6B</t>
  </si>
  <si>
    <t>Episode Six</t>
  </si>
  <si>
    <t>Qard, Rao, Sur, Aur</t>
  </si>
  <si>
    <t>Taurin Clarke Variant</t>
  </si>
  <si>
    <t>Episode Seven</t>
  </si>
  <si>
    <t>Meanwhile, in the Dark</t>
  </si>
  <si>
    <t>8A</t>
  </si>
  <si>
    <t>Episode Eight</t>
  </si>
  <si>
    <t>Sojourner</t>
  </si>
  <si>
    <t>9D</t>
  </si>
  <si>
    <t>Bengal Amari Variant</t>
  </si>
  <si>
    <t>Episode Nine</t>
  </si>
  <si>
    <t>Goldface</t>
  </si>
  <si>
    <t>10A</t>
  </si>
  <si>
    <t>Episode Ten</t>
  </si>
  <si>
    <t>Dig It Out</t>
  </si>
  <si>
    <t>11A</t>
  </si>
  <si>
    <t>Episode Eleven</t>
  </si>
  <si>
    <t>Something Red</t>
  </si>
  <si>
    <t>Episode Twelve</t>
  </si>
  <si>
    <t>What the Abin Sur Wanted</t>
  </si>
  <si>
    <t>17A</t>
  </si>
  <si>
    <t>Episode Seventeen</t>
  </si>
  <si>
    <t>Sin Es Tro</t>
  </si>
  <si>
    <t>Episode Eighteen</t>
  </si>
  <si>
    <t>No Man Escapes</t>
  </si>
  <si>
    <t>Absolute Martian Manhunter</t>
  </si>
  <si>
    <t>1J</t>
  </si>
  <si>
    <t>Javier Rodriguez Foil Variant</t>
  </si>
  <si>
    <t>J</t>
  </si>
  <si>
    <t>Javier Rodriguez Regular</t>
  </si>
  <si>
    <t>2nd Printing Javier Rodriguez</t>
  </si>
  <si>
    <t>Tirso Cons Variant</t>
  </si>
  <si>
    <t>5F</t>
  </si>
  <si>
    <t>Mitch Gerads Variant</t>
  </si>
  <si>
    <t>10C</t>
  </si>
  <si>
    <t>Werther Dell'Edera Variant</t>
  </si>
  <si>
    <t>Absolute Superman</t>
  </si>
  <si>
    <t>1C</t>
  </si>
  <si>
    <t>Jim Lee Variant</t>
  </si>
  <si>
    <t>Last Dust of Krypton, Part One</t>
  </si>
  <si>
    <t>Part One</t>
  </si>
  <si>
    <t>Down in the Dirt</t>
  </si>
  <si>
    <t>Last Dust of Krypton</t>
  </si>
  <si>
    <t>2C</t>
  </si>
  <si>
    <t>Mateus Manhanini Variant</t>
  </si>
  <si>
    <t>Last Dust of Krypton, Part Two</t>
  </si>
  <si>
    <t>Part Two</t>
  </si>
  <si>
    <t>Sun of Nothing</t>
  </si>
  <si>
    <t>Declan Shalvey Variant</t>
  </si>
  <si>
    <t>Last Dust of Krypton, Part Three</t>
  </si>
  <si>
    <t>Part Three</t>
  </si>
  <si>
    <t>Boy from the Purple Prairie</t>
  </si>
  <si>
    <t>Rafa Sandoval Regular</t>
  </si>
  <si>
    <t>Last Dust of Krypton, Part Four</t>
  </si>
  <si>
    <t>Part Four</t>
  </si>
  <si>
    <t>Chasing the Storm</t>
  </si>
  <si>
    <t>5C</t>
  </si>
  <si>
    <t>Jae Lee Variant</t>
  </si>
  <si>
    <t>Last Dust of Krypton, Finale</t>
  </si>
  <si>
    <t>Finale</t>
  </si>
  <si>
    <t>Ad Astra Per Aspera</t>
  </si>
  <si>
    <t>Derrick Chew Variant</t>
  </si>
  <si>
    <t>Last Dust of Krypton, Epilogue</t>
  </si>
  <si>
    <t>Epilogue</t>
  </si>
  <si>
    <t>Son of Smallville</t>
  </si>
  <si>
    <t>Superman, Son of the Demon, Prologue</t>
  </si>
  <si>
    <t>Prologue</t>
  </si>
  <si>
    <t>A Mind is a Terrible Thing</t>
  </si>
  <si>
    <t>Superman, Son of the Demon</t>
  </si>
  <si>
    <t>8F</t>
  </si>
  <si>
    <t>2nd Printing Rafa Sandoval</t>
  </si>
  <si>
    <t>Superman, Son of the Demon, Chapter One</t>
  </si>
  <si>
    <t>Lazarus, Come Forth</t>
  </si>
  <si>
    <t>9G</t>
  </si>
  <si>
    <t>Superman, Son of the Demon, Chapter Two</t>
  </si>
  <si>
    <t>The Omega Man</t>
  </si>
  <si>
    <t>10F</t>
  </si>
  <si>
    <t>Superman, Son of the Demon, Chapter Three</t>
  </si>
  <si>
    <t>The Beast in the Mine</t>
  </si>
  <si>
    <t>Jae Lee Card Stock Variant</t>
  </si>
  <si>
    <t>Superman, Son of the Demon, Finale</t>
  </si>
  <si>
    <t>Man of Steel, Mind of Ash</t>
  </si>
  <si>
    <t>Mirka Andolfo Variant</t>
  </si>
  <si>
    <t>The Neverending Begins, Finale: All Together Now</t>
  </si>
  <si>
    <t>Finale: All Together Now</t>
  </si>
  <si>
    <t>The Neverending Begins</t>
  </si>
  <si>
    <t>18B</t>
  </si>
  <si>
    <t>Gerald Parel Variant</t>
  </si>
  <si>
    <t>Reign of the Superman, Part One</t>
  </si>
  <si>
    <t>King of the Black Land</t>
  </si>
  <si>
    <t>Reign of the Superman</t>
  </si>
  <si>
    <t>20B</t>
  </si>
  <si>
    <t>David Nakayama Connecting Variant</t>
  </si>
  <si>
    <t>Reign of the Superman, Part Three</t>
  </si>
  <si>
    <t>Up, Up And...</t>
  </si>
  <si>
    <t>22B</t>
  </si>
  <si>
    <t>Eric Canete Variant</t>
  </si>
  <si>
    <t>Get Brainiac, Part One</t>
  </si>
  <si>
    <t>Metallo</t>
  </si>
  <si>
    <t>Get Brainiac</t>
  </si>
  <si>
    <t>23B</t>
  </si>
  <si>
    <t>Clay Mann Variant</t>
  </si>
  <si>
    <t>Get Brainiac, Part Two: "The Toyman"</t>
  </si>
  <si>
    <t>Part Two: "The Toyman"</t>
  </si>
  <si>
    <t>Part 2: The Toyman</t>
  </si>
  <si>
    <t>Absolute Wonder Woman</t>
  </si>
  <si>
    <t>1AA</t>
  </si>
  <si>
    <t>2nd Printing Hayden Sherman</t>
  </si>
  <si>
    <t>AA</t>
  </si>
  <si>
    <t>The Last Amazon</t>
  </si>
  <si>
    <t>Hayden Sherman Regular</t>
  </si>
  <si>
    <t>4C</t>
  </si>
  <si>
    <t>Mattia De Iulis Variant</t>
  </si>
  <si>
    <t>Jeehyung Lee Variant</t>
  </si>
  <si>
    <t>Sean Gordon Murphy Variant</t>
  </si>
  <si>
    <t>The Lady or the Tiger</t>
  </si>
  <si>
    <t>As My Mothers Made Me</t>
  </si>
  <si>
    <t>10H</t>
  </si>
  <si>
    <t>H</t>
  </si>
  <si>
    <t>12D</t>
  </si>
  <si>
    <t>Mateus Manhanini Incentive Variant (1:25)</t>
  </si>
  <si>
    <t>13B</t>
  </si>
  <si>
    <t>The Price</t>
  </si>
  <si>
    <t>13C</t>
  </si>
  <si>
    <t>David Talaski Variant</t>
  </si>
  <si>
    <t>15A</t>
  </si>
  <si>
    <t>The Mark of Hecate</t>
  </si>
  <si>
    <t>17C</t>
  </si>
  <si>
    <t>Riley Rossmo Variant</t>
  </si>
  <si>
    <t>Season of the Witch</t>
  </si>
  <si>
    <t>Terry Dodson Variant</t>
  </si>
  <si>
    <t>22A</t>
  </si>
  <si>
    <t>Friends &amp; Neighbors</t>
  </si>
  <si>
    <t>Heretic, Part 1 of 5</t>
  </si>
  <si>
    <t>Part 1 of 5</t>
  </si>
  <si>
    <t>Heretic</t>
  </si>
  <si>
    <t>Absolute Universe — Missing Issues (Issue-Level, No Variant Chasing)</t>
  </si>
  <si>
    <t>Missing Issue(s)</t>
  </si>
  <si>
    <t>Count</t>
  </si>
  <si>
    <t>Complete Thru</t>
  </si>
  <si>
    <t>Highest Owned</t>
  </si>
  <si>
    <t>Latest Out</t>
  </si>
  <si>
    <t>Status / Source</t>
  </si>
  <si>
    <t>None yet</t>
  </si>
  <si>
    <t>Specials, Annuals &amp; One-Shots</t>
  </si>
  <si>
    <t>Absolute Wonder Woman 2026 Annual #1</t>
  </si>
  <si>
    <t>—</t>
  </si>
  <si>
    <t>Absolute Cassandra Cain: The Shadow's Hand #1</t>
  </si>
  <si>
    <t>Sep 16</t>
  </si>
  <si>
    <t>Absolute Batman Annual #1</t>
  </si>
  <si>
    <t>OWNED (3rd printing)</t>
  </si>
  <si>
    <t>Absolute Batman: Ark-M Special #1</t>
  </si>
  <si>
    <t>OWNED (2nd printing)</t>
  </si>
  <si>
    <t>Absolute Evil #1</t>
  </si>
  <si>
    <t>OWNED</t>
  </si>
  <si>
    <t>Verification Notes</t>
  </si>
  <si>
    <t>Absolute Martian Manhunter #10C is duplicated in the export (identical ComicID and barcode) — counted once.</t>
  </si>
  <si>
    <t>Green Lantern: dc.com did not surface an issue above #18, which you already own. Wikipedia still says 17 issues, so that count is stale. Treat #19+ as unconfirmed.</t>
  </si>
  <si>
    <t>Removed from earlier drafts: 'Absolute Batman: Beyond Ark M' (announced with no confirmed release; date was TBA) and a standalone Batman/Wonder Woman crossover row (the crossover ran inside Absolute Batman #16 and Wonder Woman #15-16, not as separate books).</t>
  </si>
  <si>
    <t>DC All-In Special #1 is a DC All In launch one-shot, not an Absolute-line comic. Excluded from this set — add it back if you want the prologue.</t>
  </si>
  <si>
    <t>Not verified: whether any Absolute one-shot exists that never appeared in dc.com search results. An Absolute event miniseries is announced for Q4 2026 and is not yet solicited by issue.</t>
  </si>
  <si>
    <t>Column meanings</t>
  </si>
  <si>
    <t>Complete Thru = highest issue with NO gaps below it. This is your true unbroken run from #1.</t>
  </si>
  <si>
    <t>Highest Owned = the single highest issue number in your collection, regardless of gaps beneath it.</t>
  </si>
  <si>
    <t>Latest Out = newest issue DC has published, verified on dc.com 2026-09-08.</t>
  </si>
  <si>
    <t>Absolute Universe — Buying Plan (42 Targets: 41 Released + 1 Pre-Order)</t>
  </si>
  <si>
    <t>STRATEGY — read this first</t>
  </si>
  <si>
    <t>1. Start with the Third Eye links in section C. They cover the recent issues and several mid-run gaps at roughly cover price in one cart.</t>
  </si>
  <si>
    <t>2. Then fill recent issues (2026 releases) at cover price from any new-release retailer. Batman #19-23, Flash #18, Green Arrow #3-4 are all recent and should be near $4.99-$5.99, not aftermarket prices.</t>
  </si>
  <si>
    <t>3. Buy older/mid-run singles LAST and individually. These are where premiums appear.</t>
  </si>
  <si>
    <t>4. TWO-STOP PLAN: build one Third Eye cart first, then use the eBay links only for anything Third Eye cannot fill.</t>
  </si>
  <si>
    <t>5. AVOID first printings of #1 issues — you already own all the #1s, so ignore the $250 Batman #1 listings entirely. Nothing you need is a key issue.</t>
  </si>
  <si>
    <t>A. RETAILERS — ranked for your specific need</t>
  </si>
  <si>
    <t>Retailer</t>
  </si>
  <si>
    <t>Best For</t>
  </si>
  <si>
    <t>Bundles?</t>
  </si>
  <si>
    <t>Notes</t>
  </si>
  <si>
    <t>URL</t>
  </si>
  <si>
    <t>Walt's Comic Shop</t>
  </si>
  <si>
    <t>MULTI-ISSUE BUNDLES — start here</t>
  </si>
  <si>
    <t>YES</t>
  </si>
  <si>
    <t>Sells 'Mega-Bundle' runs for Batman #1-15, Superman #1-10, Wonder Woman #1-11. Duplicate-tolerant by design. Free shipping thresholds are EU-based (€75 DE / €150 EU-UK) — confirm US rates.</t>
  </si>
  <si>
    <t>waltscomicshop.com/collections/bundles</t>
  </si>
  <si>
    <t>Third Eye Comics</t>
  </si>
  <si>
    <t>Full line, all 6 series, recent issues</t>
  </si>
  <si>
    <t>No</t>
  </si>
  <si>
    <t>Carries every Absolute series incl. Green Lantern and Flash. Guarantees NM 9.4+. Good single-order consolidation. In-store pickup if you're in DC/MD/VA.</t>
  </si>
  <si>
    <t>shop.thirdeyecomics.com</t>
  </si>
  <si>
    <t>G-Mart Comics</t>
  </si>
  <si>
    <t>Deep back-issue catalog, subscription discounts</t>
  </si>
  <si>
    <t>Advertises up to 50% off subscriptions. Lists back issues by printing, so you can pick cheap later printings instead of premium 1st prints.</t>
  </si>
  <si>
    <t>g-mart.com</t>
  </si>
  <si>
    <t>The Comic Mint</t>
  </si>
  <si>
    <t>Recent 2026 issues near cover price</t>
  </si>
  <si>
    <t>Had Absolute Batman #22 variants listed at $5.95 — essentially cover price for a current issue.</t>
  </si>
  <si>
    <t>thecomicmint.com</t>
  </si>
  <si>
    <t>ecgce</t>
  </si>
  <si>
    <t>Reprint bundles</t>
  </si>
  <si>
    <t>Sells Absolute Superman reprint bundle #1-10, bagged and boarded. Reprints, not 1st printings — fine for set completion, not for value.</t>
  </si>
  <si>
    <t>ecgce.com</t>
  </si>
  <si>
    <t>MyComicShop</t>
  </si>
  <si>
    <t>WANT LIST ONLY — not a buying source now</t>
  </si>
  <si>
    <t>Recent Absolute issues show 'not in stock'; page only surfaces eBay affiliate listings. Use its want-list email alerts to catch restocks.</t>
  </si>
  <si>
    <t>mycomicshop.com</t>
  </si>
  <si>
    <t>eBay (seller lots / 'pick your issue')</t>
  </si>
  <si>
    <t>Cheapest singles + mixed lots</t>
  </si>
  <si>
    <t>Best raw prices ($2.50-$6 per common issue seen) but prices change hourly and variants are often mislabeled. Favor sellers offering 'pick your issue' so you can combine shipping.</t>
  </si>
  <si>
    <t>ebay.com</t>
  </si>
  <si>
    <t>B. BUNDLES — how much of your gap each one closes (duplicates accepted)</t>
  </si>
  <si>
    <t>Bundle</t>
  </si>
  <si>
    <t>Covers Your Gaps</t>
  </si>
  <si>
    <t>Gaps Closed</t>
  </si>
  <si>
    <t>Dupes You'd Get</t>
  </si>
  <si>
    <t>Worth It?</t>
  </si>
  <si>
    <t>Price (fill in)</t>
  </si>
  <si>
    <t>Walt's — Absolute Batman #1-15 Mega-Bundle</t>
  </si>
  <si>
    <t>8, 10, 11, 15</t>
  </si>
  <si>
    <t>OPTIONAL THIRD STOP — only buy if delivered cost beats the four eBay singles</t>
  </si>
  <si>
    <t>Walt's — Absolute Wonder Woman #1-11 Mega-Bundle</t>
  </si>
  <si>
    <t>WEAK — only closes #11; buy that single instead</t>
  </si>
  <si>
    <t>Walt's — Absolute Superman #1-10 Mega-Bundle</t>
  </si>
  <si>
    <t>None (you own 1-11)</t>
  </si>
  <si>
    <t>SKIP — zero coverage</t>
  </si>
  <si>
    <t>ecgce — Absolute Superman Reprint Bundle #1-10</t>
  </si>
  <si>
    <t>Bundle verdict: the Batman #1-15 bundle closes four gaps, but it creates a third seller. Use it only if its delivered price is lower than Batman #8, #10, #11 and #15 from one eBay seller.</t>
  </si>
  <si>
    <t>OPTIONAL: ask Third Eye for a custom package quote on the linked Superman and Wonder Woman gaps before using eBay. Contact Walt's only if you want the Batman #1-15 bundle and its delivered price wins.</t>
  </si>
  <si>
    <t>C. PER-ISSUE TRACKER — 41 released gaps + 1 pre-order</t>
  </si>
  <si>
    <t>Priority</t>
  </si>
  <si>
    <t>Expected Range</t>
  </si>
  <si>
    <t>Price Paid</t>
  </si>
  <si>
    <t>Source</t>
  </si>
  <si>
    <t>Ordered?</t>
  </si>
  <si>
    <t>1 - Recent, cover price</t>
  </si>
  <si>
    <t>$4.99-$6.99</t>
  </si>
  <si>
    <t>$4.99-$5.99</t>
  </si>
  <si>
    <t>2 - Mid-run single</t>
  </si>
  <si>
    <t>$5-$12</t>
  </si>
  <si>
    <t>2 - Mid-run single (FINALE)</t>
  </si>
  <si>
    <t>3 - Older, use Batman bundle</t>
  </si>
  <si>
    <t>$6-$20</t>
  </si>
  <si>
    <t>3 - Older single</t>
  </si>
  <si>
    <t>$6-$15</t>
  </si>
  <si>
    <t>Absolute WW 2026 Annual</t>
  </si>
  <si>
    <t>3 - Annual, one-shot</t>
  </si>
  <si>
    <t>Absolute Cassandra Cain: The Shadow's Hand</t>
  </si>
  <si>
    <t>0 - Pre-order (releases 2026-09-16)</t>
  </si>
  <si>
    <t>RUNNING TOTALS (update automatically as you fill column E)</t>
  </si>
  <si>
    <t>Issues still to buy</t>
  </si>
  <si>
    <t>Issues ordered</t>
  </si>
  <si>
    <t>Total spent so far</t>
  </si>
  <si>
    <t>Average per issue paid</t>
  </si>
  <si>
    <t>Est. remaining at $7/issue</t>
  </si>
  <si>
    <t>Projected all-in total</t>
  </si>
  <si>
    <t>Cost benchmarks / live checks (verified 2026-09-08)</t>
  </si>
  <si>
    <t>Current-issue cover price</t>
  </si>
  <si>
    <t>Cheapest per-issue seen (eBay pick-your-issue)</t>
  </si>
  <si>
    <t>Typical single back issue, common</t>
  </si>
  <si>
    <t>$5.95 - $6.19</t>
  </si>
  <si>
    <t>If all 41 at cover price</t>
  </si>
  <si>
    <t>If all 41 at cheapest bulk rate</t>
  </si>
  <si>
    <t>D. LIMITATIONS — what I could not verify</t>
  </si>
  <si>
    <t>Live inventory was checked on Third Eye and eBay search pages on 2026-09-08. Stock and marketplace pricing can change before checkout.</t>
  </si>
  <si>
    <t>Third Eye is the primary consolidation stop. Several older regular covers are sold out, but standard variants remain available for some issues.</t>
  </si>
  <si>
    <t>eBay links are live issue-specific searches, not one guaranteed seller. Prefer a single pick-your-issue seller and request combined shipping before paying.</t>
  </si>
  <si>
    <t>Green Lantern #19 was not added because no released copy was verified as of 2026-09-08.</t>
  </si>
  <si>
    <t>Not fully checked: local comic shops, Atomic Empire, Midtown, TFAW, or MyComicShop. Use them only if the two-stop plan leaves gaps.</t>
  </si>
  <si>
    <t>SUGGESTED ORDER OF OPERATIONS</t>
  </si>
  <si>
    <t>1. Open every Third Eye link and build one cart first; buy cover A or the cheapest standard variant.</t>
  </si>
  <si>
    <t>Key Collector Wanted — releases 2026-09-16</t>
  </si>
  <si>
    <t>KEY COLLECTOR SYNC</t>
  </si>
  <si>
    <t>Order #</t>
  </si>
  <si>
    <t>Ordered</t>
  </si>
  <si>
    <t>Shipment status</t>
  </si>
  <si>
    <t>Tracking</t>
  </si>
  <si>
    <t>Key Collector</t>
  </si>
  <si>
    <t>Owned / on the way</t>
  </si>
  <si>
    <t>Y</t>
  </si>
  <si>
    <t>1098285</t>
  </si>
  <si>
    <t>Confirmed — preparing to ship</t>
  </si>
  <si>
    <t>Pending</t>
  </si>
  <si>
    <t>Owned — in transit</t>
  </si>
  <si>
    <t>Wanted</t>
  </si>
  <si>
    <t>In transit</t>
  </si>
  <si>
    <t>Last synced</t>
  </si>
  <si>
    <t>Pricing Assumptions — EDIT THESE</t>
  </si>
  <si>
    <t>Every value on the Pricing Tracker and Dashboard is driven by this block. Multiples are estimates, not market quotes — override any cell to re-price the whole collection.</t>
  </si>
  <si>
    <t>Category</t>
  </si>
  <si>
    <t>Cover Price 2024-2025</t>
  </si>
  <si>
    <t>Cover Price 2026+</t>
  </si>
  <si>
    <t>Est. Value Multiple</t>
  </si>
  <si>
    <t>Regular</t>
  </si>
  <si>
    <t>Foil Variant</t>
  </si>
  <si>
    <t>Incentive 1:25</t>
  </si>
  <si>
    <t>Later Printing</t>
  </si>
  <si>
    <t>Annual/Special</t>
  </si>
  <si>
    <t>Issue #1 uplift multiplier</t>
  </si>
  <si>
    <t>Cover price step year</t>
  </si>
  <si>
    <t>Basis of these numbers</t>
  </si>
  <si>
    <t>Cover prices: DC Absolute line standard pricing ($4.99 through 2025, $5.99 from 2026; foil and annual/special priced above).</t>
  </si>
  <si>
    <t>Cover price for 2026 issues confirmed against 'Current-issue cover price' on the Shopping Plan sheet.</t>
  </si>
  <si>
    <t>Value multiples are placeholder estimates by category, NOT looked-up market prices. Replace with GoCollect / eBay sold data for a real valuation.</t>
  </si>
  <si>
    <t>Status</t>
  </si>
  <si>
    <t>Cover Price</t>
  </si>
  <si>
    <t>Cost Paid</t>
  </si>
  <si>
    <t>Value Multiple</t>
  </si>
  <si>
    <t>Est. Current Value</t>
  </si>
  <si>
    <t>Gain / Loss</t>
  </si>
  <si>
    <t>In Collection</t>
  </si>
  <si>
    <t>In Transit</t>
  </si>
  <si>
    <t>Regular cover assumed (in transit)</t>
  </si>
  <si>
    <t>TOTALS</t>
  </si>
  <si>
    <t>None</t>
  </si>
  <si>
    <t>RUN COMPLETE #1-23 — in-transit order closes 8, 10, 11, 15, 19-23. #24 upcoming.</t>
  </si>
  <si>
    <t>12, 13, 14, 16, 19, 21 in transit; #15 still on Key Collector Wanted</t>
  </si>
  <si>
    <t>8, 9</t>
  </si>
  <si>
    <t>10, 14, 15, 16, 18 in transit; #8 and #9 still Wanted</t>
  </si>
  <si>
    <t>3, 14, 15, 16 in transit; #13 still Wanted</t>
  </si>
  <si>
    <t>6-issue limited; #4 resumes Oct 2026 — no gaps</t>
  </si>
  <si>
    <t>#4 in transit; #3 still on Key Collector Wanted</t>
  </si>
  <si>
    <t>OWNED — in transit, order #1098285</t>
  </si>
  <si>
    <t>TOTAL STILL NEEDED</t>
  </si>
  <si>
    <t>TOTAL IN TRANSIT (order #1098285)</t>
  </si>
  <si>
    <t>Counted as owned above. Live count from the Pricing Tracker sheet.</t>
  </si>
  <si>
    <t>Owned recomputed from export_comics (2) plus every Shopping Plan row marked Ordered = Y / 'Owned — in transit'; any cover or printing counts as owning that numbered issue.</t>
  </si>
  <si>
    <t>Absolute Universe — Collection Dashboard</t>
  </si>
  <si>
    <t>Cost basis = cover price for copies already in the collection, actual price paid for in-transit orders. Current value is an estimate from the Assumptions sheet, not a market quote.</t>
  </si>
  <si>
    <t>Copies Owned</t>
  </si>
  <si>
    <t>Series Tracked</t>
  </si>
  <si>
    <t>Total Cost Basis</t>
  </si>
  <si>
    <t>Unrealized Gain</t>
  </si>
  <si>
    <t>Return on Cost</t>
  </si>
  <si>
    <t>Issues Still Needed</t>
  </si>
  <si>
    <t>COLLECTION BY SERIES</t>
  </si>
  <si>
    <t>Copies</t>
  </si>
  <si>
    <t>Cost Basis</t>
  </si>
  <si>
    <t>Est. Value</t>
  </si>
  <si>
    <t>Gain</t>
  </si>
  <si>
    <t>Still Missing</t>
  </si>
  <si>
    <t>% Complete</t>
  </si>
  <si>
    <t>Annuals, Specials &amp; One-Shots</t>
  </si>
  <si>
    <t>TOTAL</t>
  </si>
  <si>
    <t>VALUE BY CATEGORY</t>
  </si>
  <si>
    <t>% of Total Value</t>
  </si>
  <si>
    <t>Chart data (drives the charts — links to the tables at left)</t>
  </si>
  <si>
    <t>118 copies = 89 physically in hand + 29 in transit on order #1098285. 13 issues still needed (12 released + 1 pre-order).</t>
  </si>
  <si>
    <t>Manual Value Override</t>
  </si>
  <si>
    <t>Override Source / Note</t>
  </si>
  <si>
    <t>Confidence</t>
  </si>
  <si>
    <t>Raw, read/handled per owner. Launch-era raw comp $10-$20 (Bleeding Cool, Oct 2024), adjusted up for 2 years + animated series announcement.</t>
  </si>
  <si>
    <t>LOW - estimate, no sold comp</t>
  </si>
  <si>
    <t>Recent 2026 variant, still near retail.</t>
  </si>
  <si>
    <t>2025 regular cover, common.</t>
  </si>
  <si>
    <t>Foil #1 first print. Foils carry a premium but no sold comp retrieved.</t>
  </si>
  <si>
    <t>2026 regular cover, very recent, near retail.</t>
  </si>
  <si>
    <t>Foil #1 first print. No sold comp retrieved.</t>
  </si>
  <si>
    <t>Foil #1 first print. Series completed at 12 issues. No sold comp retrieved.</t>
  </si>
  <si>
    <t>Jim Lee cover C standard variant (NOT the cover J foil). No sold comp retrieved.</t>
  </si>
  <si>
    <t>N/A - 2nd printing, not a first print</t>
  </si>
  <si>
    <t>Estimated value is model output, not a market valuation. 8 key issues carry manual overrides on the Pricing Tracker (column M) — all flagged LOW confidence, no sold comps retrieved. Everything else is cover price × a category multiple from the Assumptions sheet.</t>
  </si>
  <si>
    <t>Absolute Universe — Reading Order Guide</t>
  </si>
  <si>
    <t>Order is by publication date. Launch dates are pulled live from your export; ownership columns are pulled live from Missing Issues. Phase groupings and the 'what it is' notes are editorial judgment — see the confidence note at the bottom.</t>
  </si>
  <si>
    <t>#</t>
  </si>
  <si>
    <t>Issues Out</t>
  </si>
  <si>
    <t>You Own Thru</t>
  </si>
  <si>
    <t>Missing</t>
  </si>
  <si>
    <t>What It Is / Why Here</t>
  </si>
  <si>
    <t>PROLOGUE — optional, sets up the premise</t>
  </si>
  <si>
    <t>DC All In Special #1</t>
  </si>
  <si>
    <t>Not owned</t>
  </si>
  <si>
    <t>Line-wide launch one-shot that establishes why the Absolute versions exist. Not an Absolute-line book, which is why it sits outside your collection — but it is the true starting point.</t>
  </si>
  <si>
    <t>PHASE 1 — THE FOUNDING THREE (Oct–Nov 2024)</t>
  </si>
  <si>
    <t>The flagship and the best entry point. Bruce Wayne with no money, no manor, no Alfred.</t>
  </si>
  <si>
    <t>Launched the same week as Batman. Diana raised in Hell rather than on Themyscira.</t>
  </si>
  <si>
    <t>Kal-El as an outsider labourer, no fortress and no family. Rounds out the founding trio.</t>
  </si>
  <si>
    <t>PHASE 2 — THE SECOND WAVE (2025)</t>
  </si>
  <si>
    <t>Second-wave launch. Reads fine after the founding three.</t>
  </si>
  <si>
    <t>PHASE 3 — ONE-SHOTS, ANNUALS &amp; SPECIALS</t>
  </si>
  <si>
    <t>Absolute Wonder Woman 2026 Annual</t>
  </si>
  <si>
    <t>One-shot focused on the line's antagonists. Read after you are through the main runs it draws on.</t>
  </si>
  <si>
    <t>Side story. Read after the Batman issues published before it.</t>
  </si>
  <si>
    <t>Batman side story. Read after the Batman issues published before it.</t>
  </si>
  <si>
    <t>Wonder Woman side story. Read after the WW issues published before it.</t>
  </si>
  <si>
    <t>PHASE 4 — THE 2026 EXPANSION</t>
  </si>
  <si>
    <t>Newest ongoing. No prerequisites beyond the founding three.</t>
  </si>
  <si>
    <t>Catwoman spinoff one-shot, published between Catwoman #3 and #4. Read Catwoman #1-3 first.</t>
  </si>
  <si>
    <t>Second-wave launch, first of the three. Reads fine after the founding three.</t>
  </si>
  <si>
    <t>The only completed run in the line - 12 issues, start to finish. Good self-contained read.</t>
  </si>
  <si>
    <t>Your Earliest Copy</t>
  </si>
  <si>
    <t>Date Basis</t>
  </si>
  <si>
    <t>1st print - true launch date</t>
  </si>
  <si>
    <t>2nd PRINT - actual launch was Oct 2024, same week as Batman</t>
  </si>
  <si>
    <t>1st print (foil) - true launch date</t>
  </si>
  <si>
    <t>3rd PRINT - actual launch earlier</t>
  </si>
  <si>
    <t>2nd PRINT - actual launch earlier</t>
  </si>
  <si>
    <t>In transit, not in export</t>
  </si>
  <si>
    <t>Not yet released</t>
  </si>
  <si>
    <t>CROSSOVER &amp; CONTINUITY NOTES</t>
  </si>
  <si>
    <t>Absolute Batman #16 and Absolute Wonder Woman #15-16 form a crossover. Read them together — do not read one run past that point without the other.</t>
  </si>
  <si>
    <t>Absolute Martian Manhunter is the only finished run (12 issues). You can read it start to finish today apart from #7, #8 and #9.</t>
  </si>
  <si>
    <t>Absolute Catwoman spins out of the Absolute Batman corner. Read Batman current before starting it, and read Catwoman #1-3 before the Cassandra Cain one-shot.</t>
  </si>
  <si>
    <t>The founding three (Batman, Wonder Woman, Superman) each stand alone for their first arc. Any of the three works as an entry point; Batman is the most accessible.</t>
  </si>
  <si>
    <t>CONFIDENCE &amp; SOURCES</t>
  </si>
  <si>
    <t>VERIFIED from your own workbook: publication order, release dates (column C, live from export_comics (2)), issues published, what you own and what is missing (live from Missing Issues).</t>
  </si>
  <si>
    <t>EDITORIAL JUDGEMENT, not sourced: the phase groupings, the 'What It Is' descriptions, and the recommended sequence within each phase. These are my reading recommendations — change them freely.</t>
  </si>
  <si>
    <t>NOT VERIFIED THIS SESSION: the Batman #16 / Wonder Woman #15-16 crossover pairing is carried over from the note already on your Missing Issues tab. The DC All In Special #1 prologue placement is from general knowledge, not a source I checked today.</t>
  </si>
  <si>
    <t>Sep 2024</t>
  </si>
  <si>
    <t>Six-issue limited series. Spins out of the Absolute Batman corner - read current on Batman first.</t>
  </si>
  <si>
    <t>ORDER CAVEAT: Absolute Batman Annual #1 and Ark-M Special #1 are positioned by my judgement, not by date - you own reprints of both, so the export only holds the reprint dates (Apr 2026 and Mar 2026), not the original release dates.</t>
  </si>
  <si>
    <t>Reading Status</t>
  </si>
  <si>
    <t>% You Can Read</t>
  </si>
  <si>
    <t>Not Started</t>
  </si>
  <si>
    <t>Run Health</t>
  </si>
  <si>
    <t>YOUR READING PROGRESS  —  change any Reading Status dropdown below and these update</t>
  </si>
  <si>
    <t>Finished</t>
  </si>
  <si>
    <t>Caught Up</t>
  </si>
  <si>
    <t>Reading Now</t>
  </si>
  <si>
    <t>Skipping</t>
  </si>
  <si>
    <t>Issues You Can Read Now</t>
  </si>
  <si>
    <t>Line Completion</t>
  </si>
  <si>
    <t>JUMP TO:</t>
  </si>
  <si>
    <t>▸ Dashboard</t>
  </si>
  <si>
    <t>▸ Pricing Tracker</t>
  </si>
  <si>
    <t>▸ Missing Issues</t>
  </si>
  <si>
    <t>▸ Shopping Plan</t>
  </si>
  <si>
    <t>▸ Assumptions</t>
  </si>
  <si>
    <t>E. NON-EBAY SOURCING FOR THE 13 REMAINING (researched 2026-09-09)</t>
  </si>
  <si>
    <t>KEY FINDING: DC sent the entire Absolute line back to press in early 2026. Batman / Wonder Woman / Superman reprints hit stores 2026-03-04; Flash / Green Lantern / Martian Manhunter reprints hit 2026-03-18. Later printings sell at cover price and are the cheapest non-eBay route to every mid-run gap you have left.</t>
  </si>
  <si>
    <t>Best Non-eBay Route</t>
  </si>
  <si>
    <t>Why This Route</t>
  </si>
  <si>
    <t>Expected Price</t>
  </si>
  <si>
    <t>Absolute Cassandra Cain</t>
  </si>
  <si>
    <t>Third Eye Comics pre-order</t>
  </si>
  <si>
    <t>Pre-order at $4.99, releases 2026-09-16</t>
  </si>
  <si>
    <t>$4.99-$7.09</t>
  </si>
  <si>
    <t>G-Mart (lists by printing) / later printing</t>
  </si>
  <si>
    <t>G-Mart / later printing</t>
  </si>
  <si>
    <t>G-Mart / Walt's / later printing</t>
  </si>
  <si>
    <t>THIRD EYE IS SOLD OUT on MM #7. Caught in the 2026-03-18 MM reprint wave.</t>
  </si>
  <si>
    <t>THIRD EYE IS SOLD OUT on MM #8. Caught in the 2026-03-18 MM reprint wave.</t>
  </si>
  <si>
    <t>THIRD EYE IS SOLD OUT on MM #9. Caught in the 2026-03-18 MM reprint wave.</t>
  </si>
  <si>
    <t>Later printing — G-Mart / see section E</t>
  </si>
  <si>
    <t>G-Mart / Walt's — THIRD EYE SOLD OUT — see section E</t>
  </si>
  <si>
    <t>Retailer pages checked 2026-09-08; non-eBay routing for the 13 remaining gaps researched 2026-09-09 (section E). Inventory changes — open each link before checkout. 29 of 42 targets are ordered and in transit.</t>
  </si>
  <si>
    <t>Absolute Batman is now a COMPLETE #1-23 run once the in-transit order lands. #24 will open the next gap — add it when solicited.</t>
  </si>
  <si>
    <t>NEW GAPS INCOMING: Absolute Wonder Woman #24 is on sale 2026-09-23 and #25 on 2026-10-28. Both will become gaps within weeks. Pre-order at cover rather than chasing them later.</t>
  </si>
  <si>
    <t>2. For the 10 non-eBay-routable gaps, use section E: chase LATER PRINTINGS at cover price via G-Mart (which lists by printing) before touching the aftermarket. The 2026 reprint wave put every one of your gaps back in print.</t>
  </si>
  <si>
    <t>3. Martian Manhunter #7, #8, #9 cannot come from Third Eye — confirmed sold out. G-Mart or Walt's are the non-eBay routes.</t>
  </si>
  <si>
    <t>4. Compare the DELIVERED total, not item price — a $5 issue from a second seller can cost more after shipping. Mark Ordered = Y and record the final price in column E.</t>
  </si>
  <si>
    <t>5. Pre-order Cassandra Cain #1 (2026-09-16) and Wonder Woman #24 (2026-09-23) at Third Eye at cover price.</t>
  </si>
  <si>
    <t>Third Eye SOLD OUT (re-checked 9/9) — reroute</t>
  </si>
  <si>
    <t>Third Eye — #11 THIRD PRINTING IN STOCK $4.99</t>
  </si>
  <si>
    <t>Third Eye SOLD OUT (re-checked 9/9) — Comic Mint / eBay</t>
  </si>
  <si>
    <t>Third Eye - preorder $4.99 (CONFIRMED 9/9)</t>
  </si>
  <si>
    <t>eBay / G-Mart / Comic Mint</t>
  </si>
  <si>
    <t>THIRD EYE NOW SOLD OUT on GA #3 (all covers, incl. bundle) — re-checked 2026-09-09</t>
  </si>
  <si>
    <t>Third Eye sold-out status VERIFIED 2026-09-09; alternative stock NOT verified</t>
  </si>
  <si>
    <t>eBay / G-Mart</t>
  </si>
  <si>
    <t>THIRD EYE NOW SOLD OUT on GL #13 (covers A-D); no later printing listed — re-checked 2026-09-09</t>
  </si>
  <si>
    <t>IN STOCK — VERIFIED 2026-09-09 (CVR A Bengal, $4.99, releases 09/16)</t>
  </si>
  <si>
    <t>The Comic Mint / eBay</t>
  </si>
  <si>
    <t>THIRD EYE SOLD OUT on WW #20 (covers A-D) — re-checked 2026-09-09</t>
  </si>
  <si>
    <t>Third Eye sold-out status VERIFIED 2026-09-09; Comic Mint stock NOT verified</t>
  </si>
  <si>
    <t>THIRD EYE SOLD OUT on WW #21 (covers A-D) — re-checked 2026-09-09</t>
  </si>
  <si>
    <t>Third Eye Comics — #11 THIRD PRINTING</t>
  </si>
  <si>
    <t>IN STOCK at Third Eye: 'ABSOLUTE WONDER WOMAN #11 Third Printing' $4.99. Buy this instead of Walt's bundle — no dupes, no third seller.</t>
  </si>
  <si>
    <t>IN STOCK — VERIFIED 2026-09-09</t>
  </si>
  <si>
    <t>Caught in the 2026-03-04 WW reprint wave. THIRD EYE SOLD OUT on #14 (covers A-D, no later printing).</t>
  </si>
  <si>
    <t>Third Eye sold-out VERIFIED 2026-09-09; G-Mart stock NOT verified</t>
  </si>
  <si>
    <t>Caught in the 2026-03-04 Superman reprint wave. THIRD EYE SOLD OUT on #15 — 1st print AND Second Printing both gone.</t>
  </si>
  <si>
    <t>Caught in the 2026-03-18 Flash reprint wave. THIRD EYE SOLD OUT on #8 (covers A-D, no later printing).</t>
  </si>
  <si>
    <t>Caught in the 2026-03-18 Flash reprint wave. THIRD EYE SOLD OUT on #9 (covers A-D, no later printing).</t>
  </si>
  <si>
    <t>Third Eye sold-out re-VERIFIED 2026-09-09 (all covers); alternative stock NOT verified</t>
  </si>
  <si>
    <t>LIVE STOCK RE-CHECKED AT THIRD EYE 2026-09-09 (every cover of every open gap). RESULT: only 2 of the 13 are buyable there — Wonder Woman #11 Third Printing ($4.99, in stock) and Cassandra Cain #1 pre-order ($4.99). The other 11 are sold out at Third Eye in every cover, including Green Arrow #3 and Green Lantern #13, which the plan previously listed as Third Eye buys. Confidence column below reflects this check.</t>
  </si>
  <si>
    <t>ALSO NEW: Absolute Wonder Woman #24 (on sale 09/23/2026) is open for pre-order at Third Eye — CVR A Hayden Sherman $4.99, in stock. Add it to the same cart as Cassandra Cain #1 to avoid paying aftermarket later.</t>
  </si>
  <si>
    <t>G-Mart — ordered 2026-09-09</t>
  </si>
  <si>
    <t>Order placed — 3 items to ship</t>
  </si>
  <si>
    <t>G-Mart — ordered 2026-09-09 (over expected range)</t>
  </si>
  <si>
    <t>ORDERED 2026-09-09 — G-Mart, order #4333644, $5.50 (Cvr A, NM)</t>
  </si>
  <si>
    <t>ORDERED 2026-09-09 — G-Mart, order #4333644, $18.00 (Cvr A, NM) — paid well above cover</t>
  </si>
  <si>
    <t>ORDERED 2026-09-09 — G-Mart, order #4333644, $9.00 (Cvr A, NM)</t>
  </si>
  <si>
    <t>11, 14, 21</t>
  </si>
  <si>
    <t>16 and 19 in transit; #20 ordered 2026-09-09 (order #4333644); #11, #14, #21 still Wanted</t>
  </si>
  <si>
    <t>#12 (finale) in transit; #8 and #9 ordered 2026-09-09 (order #4333644); #7 still Wanted</t>
  </si>
  <si>
    <t>Owned = export_comics (2) PLUS the 29 issues marked 'Owned — in transit' on Shopping Plan (order #1098285) PLUS the 3 issues ordered 2026-09-09 (order #4333644: Wonder Woman #20, Martian Manhunter #8, #9). Publication data verified 2026-09-08.</t>
  </si>
  <si>
    <t>9 released + 1 pre-order (Cassandra Cain #1, on sale 2026-09-16)</t>
  </si>
  <si>
    <t>Cover A Regular (in transit, order #4333644)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</si>
</sst>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164" formatCode="&quot;$&quot;#,##0.00"/>
    <numFmt numFmtId="165" formatCode="\$0.00"/>
    <numFmt numFmtId="166" formatCode="mm/dd/yy"/>
    <numFmt numFmtId="167" formatCode="0.0&quot;x&quot;"/>
    <numFmt numFmtId="168" formatCode="&quot;$&quot;#,##0.00;\(&quot;$&quot;#,##0.00\);&quot;-&quot;"/>
    <numFmt numFmtId="169" formatCode="0.0%"/>
    <numFmt numFmtId="170" formatCode="mmm\ d\,\ yyyy"/>
  </numFmts>
  <fonts count="49" x14ac:knownFonts="1">
    <font>
      <sz val="11"/>
      <color theme="1"/>
      <name val="Aptos Narrow"/>
    </font>
    <font>
      <sz val="11"/>
      <color theme="1"/>
      <name val="Aptos Narrow"/>
    </font>
    <font>
      <sz val="18"/>
      <color theme="3"/>
      <name val="Aptos Display"/>
    </font>
    <font>
      <b/>
      <sz val="15"/>
      <color theme="3"/>
      <name val="Aptos Narrow"/>
    </font>
    <font>
      <b/>
      <sz val="13"/>
      <color theme="3"/>
      <name val="Aptos Narrow"/>
    </font>
    <font>
      <b/>
      <sz val="11"/>
      <color theme="3"/>
      <name val="Aptos Narrow"/>
    </font>
    <font>
      <sz val="11"/>
      <color rgb="FF006100"/>
      <name val="Aptos Narrow"/>
    </font>
    <font>
      <sz val="11"/>
      <color rgb="FF9C0006"/>
      <name val="Aptos Narrow"/>
    </font>
    <font>
      <sz val="11"/>
      <color rgb="FF9C5700"/>
      <name val="Aptos Narrow"/>
    </font>
    <font>
      <sz val="11"/>
      <color rgb="FF3F3F76"/>
      <name val="Aptos Narrow"/>
    </font>
    <font>
      <b/>
      <sz val="11"/>
      <color rgb="FF3F3F3F"/>
      <name val="Aptos Narrow"/>
    </font>
    <font>
      <b/>
      <sz val="11"/>
      <color rgb="FFFA7D00"/>
      <name val="Aptos Narrow"/>
    </font>
    <font>
      <sz val="11"/>
      <color rgb="FFFA7D00"/>
      <name val="Aptos Narrow"/>
    </font>
    <font>
      <b/>
      <sz val="11"/>
      <color theme="0"/>
      <name val="Aptos Narrow"/>
    </font>
    <font>
      <sz val="11"/>
      <color rgb="FFFF0000"/>
      <name val="Aptos Narrow"/>
    </font>
    <font>
      <i/>
      <sz val="11"/>
      <color rgb="FF7F7F7F"/>
      <name val="Aptos Narrow"/>
    </font>
    <font>
      <b/>
      <sz val="11"/>
      <color theme="1"/>
      <name val="Aptos Narrow"/>
    </font>
    <font>
      <sz val="11"/>
      <color theme="0"/>
      <name val="Aptos Narrow"/>
    </font>
    <font>
      <sz val="11"/>
      <color theme="10"/>
      <name val="Aptos Narrow"/>
    </font>
    <font>
      <b/>
      <sz val="14"/>
      <color theme="1"/>
      <name val="Aptos Narrow"/>
    </font>
    <font>
      <i/>
      <sz val="11"/>
      <color rgb="FF666666"/>
      <name val="Aptos Narrow"/>
    </font>
    <font>
      <b/>
      <sz val="11"/>
      <color rgb="FFFFFFFF"/>
      <name val="Aptos Narrow"/>
    </font>
    <font>
      <sz val="11"/>
      <color rgb="FF808080"/>
      <name val="Aptos Narrow"/>
    </font>
    <font>
      <b/>
      <i/>
      <sz val="11"/>
      <color rgb="FF666666"/>
      <name val="Aptos Narrow"/>
    </font>
    <font>
      <b/>
      <sz val="15"/>
      <color theme="1"/>
      <name val="Aptos Narrow"/>
    </font>
    <font>
      <b/>
      <sz val="11"/>
      <color rgb="FF9C0006"/>
      <name val="Aptos Narrow"/>
    </font>
    <font>
      <b/>
      <sz val="12"/>
      <color theme="1"/>
      <name val="Aptos Narrow"/>
    </font>
    <font>
      <b/>
      <sz val="11"/>
      <color rgb="FF1F3864"/>
      <name val="Aptos Narrow"/>
    </font>
    <font>
      <sz val="11"/>
      <color rgb="FF333333"/>
      <name val="Aptos Narrow"/>
    </font>
    <font>
      <sz val="11"/>
      <color rgb="FF0563C1"/>
      <name val="Aptos Narrow"/>
    </font>
    <font>
      <sz val="11"/>
      <color rgb="FF000000"/>
      <name val="Aptos Narrow"/>
    </font>
    <font>
      <b/>
      <sz val="11"/>
      <color rgb="FF000000"/>
      <name val="Aptos Narrow"/>
    </font>
    <font>
      <sz val="11"/>
      <color rgb="FF0000FF"/>
      <name val="Aptos Narrow"/>
    </font>
    <font>
      <sz val="11"/>
      <color rgb="FF008000"/>
      <name val="Aptos Narrow"/>
    </font>
    <font>
      <b/>
      <sz val="18"/>
      <color theme="1"/>
      <name val="Aptos Narrow"/>
    </font>
    <font>
      <b/>
      <sz val="16"/>
      <color theme="1"/>
      <name val="Aptos Narrow"/>
    </font>
    <font>
      <i/>
      <sz val="11"/>
      <color theme="1"/>
      <name val="Aptos Narrow"/>
    </font>
    <font>
      <i/>
      <sz val="11"/>
      <color rgb="FF888888"/>
      <name val="Aptos Narrow"/>
    </font>
    <font>
      <i/>
      <sz val="11"/>
      <color rgb="FFC00000"/>
      <name val="Aptos Narrow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i/>
      <sz val="12"/>
      <color theme="1"/>
      <name val="Aptos Narrow"/>
    </font>
    <font>
      <i/>
      <sz val="11"/>
      <color rgb="FF008000"/>
      <name val="Aptos Narrow"/>
    </font>
    <font>
      <b/>
      <sz val="12"/>
      <color rgb="FFFFFFFF"/>
      <name val="Aptos Narrow"/>
    </font>
    <font>
      <b/>
      <sz val="20"/>
      <color rgb="FFFFFFFF"/>
      <name val="Aptos Narrow"/>
    </font>
    <font>
      <b/>
      <sz val="11"/>
      <color theme="10"/>
      <name val="Aptos Narrow"/>
    </font>
    <font>
      <b/>
      <i/>
      <sz val="11"/>
      <color rgb="FFC00000"/>
      <name val="Aptos Narrow"/>
    </font>
    <font>
      <b/>
      <sz val="12"/>
      <color rgb="FF1F3864"/>
      <name val="Aptos Narrow"/>
    </font>
    <font>
      <b/>
      <i/>
      <sz val="11"/>
      <color theme="1"/>
      <name val="Aptos Narrow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F3864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FCE4D6"/>
      </patternFill>
    </fill>
    <fill>
      <patternFill patternType="solid">
        <fgColor rgb="FF2E5C9A"/>
      </patternFill>
    </fill>
    <fill>
      <patternFill patternType="solid">
        <fgColor rgb="FFFFC7CE"/>
      </patternFill>
    </fill>
    <fill>
      <patternFill patternType="solid">
        <fgColor rgb="FF1F3864"/>
      </patternFill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D9E2F3"/>
      </patternFill>
    </fill>
    <fill>
      <patternFill patternType="solid">
        <fgColor rgb="FF1F3864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D9E2F3"/>
      </patternFill>
    </fill>
    <fill>
      <patternFill patternType="solid">
        <fgColor rgb="FF1F386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F0F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6C4A9C"/>
        <bgColor indexed="64"/>
      </patternFill>
    </fill>
    <fill>
      <patternFill patternType="solid">
        <fgColor rgb="FF0B5394"/>
        <bgColor indexed="64"/>
      </patternFill>
    </fill>
    <fill>
      <patternFill patternType="solid">
        <fgColor rgb="FF137333"/>
        <bgColor indexed="64"/>
      </patternFill>
    </fill>
    <fill>
      <patternFill patternType="solid">
        <fgColor rgb="FFB45F06"/>
        <bgColor indexed="64"/>
      </patternFill>
    </fill>
    <fill>
      <patternFill patternType="solid">
        <fgColor rgb="FFA61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7FB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B4C6E7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1F3864"/>
      </left>
      <right/>
      <top style="thin">
        <color rgb="FF1F3864"/>
      </top>
      <bottom style="thin">
        <color rgb="FF1F3864"/>
      </bottom>
      <diagonal/>
    </border>
    <border>
      <left/>
      <right style="thin">
        <color rgb="FF1F3864"/>
      </right>
      <top style="thin">
        <color rgb="FF1F3864"/>
      </top>
      <bottom style="thin">
        <color rgb="FF1F38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98">
    <xf numFmtId="0" fontId="0" fillId="0" borderId="0" xfId="0"/>
    <xf numFmtId="15" fontId="0" fillId="0" borderId="0" xfId="0" applyNumberFormat="1"/>
    <xf numFmtId="17" fontId="0" fillId="0" borderId="0" xfId="0" applyNumberFormat="1"/>
    <xf numFmtId="0" fontId="19" fillId="0" borderId="0" xfId="0" applyFont="1"/>
    <xf numFmtId="0" fontId="20" fillId="0" borderId="0" xfId="0" applyFont="1"/>
    <xf numFmtId="0" fontId="16" fillId="0" borderId="0" xfId="0" applyFont="1"/>
    <xf numFmtId="0" fontId="21" fillId="33" borderId="0" xfId="0" applyFont="1" applyFill="1"/>
    <xf numFmtId="0" fontId="0" fillId="0" borderId="0" xfId="0" applyAlignment="1">
      <alignment horizontal="center"/>
    </xf>
    <xf numFmtId="0" fontId="21" fillId="33" borderId="10" xfId="0" applyFont="1" applyFill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22" fillId="0" borderId="11" xfId="0" applyFont="1" applyBorder="1"/>
    <xf numFmtId="0" fontId="22" fillId="0" borderId="11" xfId="0" applyFont="1" applyBorder="1" applyAlignment="1">
      <alignment horizontal="center"/>
    </xf>
    <xf numFmtId="0" fontId="16" fillId="34" borderId="11" xfId="0" applyFont="1" applyFill="1" applyBorder="1"/>
    <xf numFmtId="0" fontId="16" fillId="35" borderId="12" xfId="0" applyFont="1" applyFill="1" applyBorder="1"/>
    <xf numFmtId="0" fontId="16" fillId="35" borderId="12" xfId="0" applyFont="1" applyFill="1" applyBorder="1" applyAlignment="1">
      <alignment horizontal="center"/>
    </xf>
    <xf numFmtId="0" fontId="0" fillId="36" borderId="11" xfId="0" applyFill="1" applyBorder="1"/>
    <xf numFmtId="0" fontId="0" fillId="36" borderId="11" xfId="0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0" fillId="37" borderId="11" xfId="0" applyFill="1" applyBorder="1"/>
    <xf numFmtId="0" fontId="0" fillId="37" borderId="11" xfId="0" applyFill="1" applyBorder="1" applyAlignment="1">
      <alignment horizontal="center"/>
    </xf>
    <xf numFmtId="49" fontId="0" fillId="37" borderId="11" xfId="0" applyNumberFormat="1" applyFill="1" applyBorder="1" applyAlignment="1">
      <alignment horizontal="center"/>
    </xf>
    <xf numFmtId="0" fontId="21" fillId="38" borderId="10" xfId="0" applyFont="1" applyFill="1" applyBorder="1"/>
    <xf numFmtId="0" fontId="23" fillId="0" borderId="0" xfId="0" applyFont="1"/>
    <xf numFmtId="8" fontId="0" fillId="0" borderId="0" xfId="0" applyNumberFormat="1"/>
    <xf numFmtId="0" fontId="24" fillId="0" borderId="0" xfId="0" applyFont="1"/>
    <xf numFmtId="0" fontId="25" fillId="39" borderId="0" xfId="0" applyFont="1" applyFill="1"/>
    <xf numFmtId="0" fontId="26" fillId="34" borderId="0" xfId="0" applyFont="1" applyFill="1"/>
    <xf numFmtId="164" fontId="0" fillId="35" borderId="0" xfId="0" applyNumberFormat="1" applyFill="1"/>
    <xf numFmtId="164" fontId="0" fillId="0" borderId="0" xfId="0" applyNumberFormat="1"/>
    <xf numFmtId="0" fontId="16" fillId="36" borderId="0" xfId="0" applyFont="1" applyFill="1"/>
    <xf numFmtId="164" fontId="16" fillId="36" borderId="0" xfId="0" applyNumberFormat="1" applyFont="1" applyFill="1"/>
    <xf numFmtId="0" fontId="27" fillId="0" borderId="0" xfId="0" applyFont="1"/>
    <xf numFmtId="0" fontId="28" fillId="0" borderId="0" xfId="0" applyFont="1"/>
    <xf numFmtId="0" fontId="21" fillId="33" borderId="13" xfId="0" applyFont="1" applyFill="1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35" borderId="15" xfId="0" applyFill="1" applyBorder="1" applyAlignment="1">
      <alignment horizontal="center"/>
    </xf>
    <xf numFmtId="0" fontId="29" fillId="35" borderId="14" xfId="42" applyFont="1" applyFill="1" applyBorder="1"/>
    <xf numFmtId="0" fontId="29" fillId="35" borderId="15" xfId="42" applyFont="1" applyFill="1" applyBorder="1"/>
    <xf numFmtId="165" fontId="0" fillId="35" borderId="14" xfId="0" applyNumberFormat="1" applyFill="1" applyBorder="1"/>
    <xf numFmtId="165" fontId="0" fillId="35" borderId="15" xfId="0" applyNumberFormat="1" applyFill="1" applyBorder="1"/>
    <xf numFmtId="0" fontId="21" fillId="40" borderId="16" xfId="0" applyFont="1" applyFill="1" applyBorder="1" applyAlignment="1">
      <alignment horizontal="center" vertical="center" wrapText="1"/>
    </xf>
    <xf numFmtId="0" fontId="21" fillId="40" borderId="14" xfId="0" applyFont="1" applyFill="1" applyBorder="1" applyAlignment="1">
      <alignment horizontal="center" vertical="center" wrapText="1"/>
    </xf>
    <xf numFmtId="0" fontId="21" fillId="40" borderId="17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0" fillId="0" borderId="13" xfId="0" applyFont="1" applyBorder="1" applyAlignment="1">
      <alignment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166" fontId="30" fillId="0" borderId="0" xfId="0" applyNumberFormat="1" applyFont="1" applyAlignment="1">
      <alignment horizontal="center" vertical="center" wrapText="1"/>
    </xf>
    <xf numFmtId="166" fontId="30" fillId="0" borderId="13" xfId="0" applyNumberFormat="1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41" borderId="18" xfId="0" applyFont="1" applyFill="1" applyBorder="1" applyAlignment="1">
      <alignment horizontal="center" vertical="center" wrapText="1"/>
    </xf>
    <xf numFmtId="166" fontId="30" fillId="42" borderId="15" xfId="0" applyNumberFormat="1" applyFont="1" applyFill="1" applyBorder="1" applyAlignment="1">
      <alignment horizontal="center" vertical="center" wrapText="1"/>
    </xf>
    <xf numFmtId="0" fontId="30" fillId="42" borderId="15" xfId="0" applyFont="1" applyFill="1" applyBorder="1" applyAlignment="1">
      <alignment vertical="center" wrapText="1"/>
    </xf>
    <xf numFmtId="0" fontId="30" fillId="43" borderId="19" xfId="0" applyFont="1" applyFill="1" applyBorder="1" applyAlignment="1">
      <alignment horizontal="center" vertical="center" wrapText="1"/>
    </xf>
    <xf numFmtId="0" fontId="30" fillId="41" borderId="20" xfId="0" applyFont="1" applyFill="1" applyBorder="1" applyAlignment="1">
      <alignment horizontal="center" vertical="center" wrapText="1"/>
    </xf>
    <xf numFmtId="166" fontId="30" fillId="42" borderId="0" xfId="0" applyNumberFormat="1" applyFont="1" applyFill="1" applyAlignment="1">
      <alignment horizontal="center" vertical="center" wrapText="1"/>
    </xf>
    <xf numFmtId="0" fontId="30" fillId="42" borderId="0" xfId="0" applyFont="1" applyFill="1" applyAlignment="1">
      <alignment vertical="center" wrapText="1"/>
    </xf>
    <xf numFmtId="0" fontId="30" fillId="43" borderId="21" xfId="0" applyFont="1" applyFill="1" applyBorder="1" applyAlignment="1">
      <alignment horizontal="center" vertical="center" wrapText="1"/>
    </xf>
    <xf numFmtId="0" fontId="0" fillId="44" borderId="24" xfId="0" applyFill="1" applyBorder="1"/>
    <xf numFmtId="0" fontId="0" fillId="0" borderId="11" xfId="0" applyBorder="1" applyAlignment="1">
      <alignment wrapText="1"/>
    </xf>
    <xf numFmtId="0" fontId="0" fillId="36" borderId="11" xfId="0" applyFill="1" applyBorder="1" applyAlignment="1">
      <alignment wrapText="1"/>
    </xf>
    <xf numFmtId="0" fontId="22" fillId="0" borderId="11" xfId="0" applyFont="1" applyBorder="1" applyAlignment="1">
      <alignment wrapText="1"/>
    </xf>
    <xf numFmtId="0" fontId="16" fillId="34" borderId="11" xfId="0" applyFont="1" applyFill="1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37" borderId="11" xfId="0" applyFill="1" applyBorder="1" applyAlignment="1">
      <alignment wrapText="1"/>
    </xf>
    <xf numFmtId="0" fontId="21" fillId="45" borderId="25" xfId="0" applyFont="1" applyFill="1" applyBorder="1" applyAlignment="1">
      <alignment horizontal="center" vertical="center" wrapText="1"/>
    </xf>
    <xf numFmtId="0" fontId="0" fillId="46" borderId="0" xfId="0" applyFill="1" applyAlignment="1">
      <alignment horizontal="center" vertical="center" wrapText="1"/>
    </xf>
    <xf numFmtId="0" fontId="0" fillId="47" borderId="0" xfId="0" applyFill="1" applyAlignment="1">
      <alignment horizontal="center" vertical="center" wrapText="1"/>
    </xf>
    <xf numFmtId="0" fontId="21" fillId="45" borderId="26" xfId="0" applyFont="1" applyFill="1" applyBorder="1" applyAlignment="1">
      <alignment horizontal="center" vertical="center"/>
    </xf>
    <xf numFmtId="0" fontId="21" fillId="45" borderId="27" xfId="0" applyFont="1" applyFill="1" applyBorder="1" applyAlignment="1">
      <alignment horizontal="center" vertical="center"/>
    </xf>
    <xf numFmtId="0" fontId="31" fillId="48" borderId="25" xfId="0" applyFont="1" applyFill="1" applyBorder="1" applyAlignment="1">
      <alignment vertical="center"/>
    </xf>
    <xf numFmtId="1" fontId="30" fillId="0" borderId="25" xfId="0" applyNumberFormat="1" applyFont="1" applyBorder="1" applyAlignment="1">
      <alignment horizontal="center" vertical="center"/>
    </xf>
    <xf numFmtId="166" fontId="30" fillId="0" borderId="25" xfId="0" applyNumberFormat="1" applyFont="1" applyBorder="1" applyAlignment="1">
      <alignment horizontal="center" vertical="center"/>
    </xf>
    <xf numFmtId="0" fontId="21" fillId="49" borderId="0" xfId="0" applyFont="1" applyFill="1" applyAlignment="1">
      <alignment horizontal="center"/>
    </xf>
    <xf numFmtId="167" fontId="0" fillId="0" borderId="0" xfId="0" applyNumberFormat="1"/>
    <xf numFmtId="167" fontId="32" fillId="50" borderId="0" xfId="0" applyNumberFormat="1" applyFont="1" applyFill="1"/>
    <xf numFmtId="1" fontId="32" fillId="50" borderId="0" xfId="0" applyNumberFormat="1" applyFont="1" applyFill="1"/>
    <xf numFmtId="0" fontId="21" fillId="49" borderId="28" xfId="0" applyFont="1" applyFill="1" applyBorder="1" applyAlignment="1">
      <alignment horizontal="center"/>
    </xf>
    <xf numFmtId="164" fontId="32" fillId="0" borderId="35" xfId="0" applyNumberFormat="1" applyFont="1" applyBorder="1"/>
    <xf numFmtId="0" fontId="21" fillId="49" borderId="35" xfId="0" applyFont="1" applyFill="1" applyBorder="1" applyAlignment="1">
      <alignment horizontal="center"/>
    </xf>
    <xf numFmtId="0" fontId="21" fillId="49" borderId="35" xfId="0" applyFont="1" applyFill="1" applyBorder="1"/>
    <xf numFmtId="0" fontId="32" fillId="0" borderId="35" xfId="0" applyFont="1" applyBorder="1"/>
    <xf numFmtId="167" fontId="32" fillId="0" borderId="35" xfId="0" applyNumberFormat="1" applyFont="1" applyBorder="1"/>
    <xf numFmtId="0" fontId="0" fillId="49" borderId="0" xfId="0" applyFill="1"/>
    <xf numFmtId="168" fontId="0" fillId="0" borderId="0" xfId="0" applyNumberFormat="1"/>
    <xf numFmtId="1" fontId="0" fillId="0" borderId="0" xfId="0" applyNumberFormat="1"/>
    <xf numFmtId="0" fontId="16" fillId="0" borderId="30" xfId="0" applyFont="1" applyBorder="1"/>
    <xf numFmtId="168" fontId="16" fillId="0" borderId="30" xfId="0" applyNumberFormat="1" applyFont="1" applyBorder="1"/>
    <xf numFmtId="168" fontId="33" fillId="0" borderId="0" xfId="0" applyNumberFormat="1" applyFont="1"/>
    <xf numFmtId="0" fontId="33" fillId="0" borderId="0" xfId="0" applyFont="1"/>
    <xf numFmtId="1" fontId="33" fillId="0" borderId="0" xfId="0" applyNumberFormat="1" applyFont="1"/>
    <xf numFmtId="0" fontId="22" fillId="0" borderId="0" xfId="0" applyFont="1" applyFill="1" applyBorder="1"/>
    <xf numFmtId="0" fontId="34" fillId="0" borderId="0" xfId="0" applyFont="1"/>
    <xf numFmtId="0" fontId="26" fillId="0" borderId="0" xfId="0" applyFont="1"/>
    <xf numFmtId="0" fontId="21" fillId="49" borderId="38" xfId="0" applyFont="1" applyFill="1" applyBorder="1" applyAlignment="1">
      <alignment horizontal="center"/>
    </xf>
    <xf numFmtId="3" fontId="35" fillId="51" borderId="32" xfId="0" applyNumberFormat="1" applyFont="1" applyFill="1" applyBorder="1" applyAlignment="1">
      <alignment horizontal="center"/>
    </xf>
    <xf numFmtId="168" fontId="35" fillId="51" borderId="32" xfId="0" applyNumberFormat="1" applyFont="1" applyFill="1" applyBorder="1" applyAlignment="1">
      <alignment horizontal="center"/>
    </xf>
    <xf numFmtId="169" fontId="35" fillId="51" borderId="32" xfId="0" applyNumberFormat="1" applyFont="1" applyFill="1" applyBorder="1" applyAlignment="1">
      <alignment horizontal="center"/>
    </xf>
    <xf numFmtId="169" fontId="0" fillId="0" borderId="0" xfId="0" applyNumberFormat="1"/>
    <xf numFmtId="3" fontId="16" fillId="0" borderId="30" xfId="0" applyNumberFormat="1" applyFont="1" applyBorder="1"/>
    <xf numFmtId="169" fontId="16" fillId="0" borderId="30" xfId="0" applyNumberFormat="1" applyFont="1" applyBorder="1"/>
    <xf numFmtId="0" fontId="0" fillId="0" borderId="29" xfId="0" applyBorder="1"/>
    <xf numFmtId="3" fontId="0" fillId="0" borderId="29" xfId="0" applyNumberFormat="1" applyBorder="1"/>
    <xf numFmtId="168" fontId="0" fillId="0" borderId="29" xfId="0" applyNumberFormat="1" applyBorder="1"/>
    <xf numFmtId="169" fontId="0" fillId="0" borderId="29" xfId="0" applyNumberFormat="1" applyBorder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21" fillId="52" borderId="0" xfId="0" applyFont="1" applyFill="1" applyAlignment="1">
      <alignment horizontal="center"/>
    </xf>
    <xf numFmtId="168" fontId="32" fillId="0" borderId="0" xfId="0" applyNumberFormat="1" applyFont="1"/>
    <xf numFmtId="0" fontId="41" fillId="0" borderId="0" xfId="0" applyFont="1"/>
    <xf numFmtId="0" fontId="42" fillId="0" borderId="0" xfId="0" applyFont="1"/>
    <xf numFmtId="0" fontId="0" fillId="0" borderId="30" xfId="0" applyBorder="1"/>
    <xf numFmtId="0" fontId="44" fillId="49" borderId="0" xfId="0" applyFont="1" applyFill="1" applyAlignment="1">
      <alignment vertical="center"/>
    </xf>
    <xf numFmtId="0" fontId="16" fillId="0" borderId="29" xfId="0" applyFont="1" applyBorder="1"/>
    <xf numFmtId="0" fontId="21" fillId="49" borderId="31" xfId="0" applyFont="1" applyFill="1" applyBorder="1" applyAlignment="1">
      <alignment horizontal="center" vertical="center" wrapText="1"/>
    </xf>
    <xf numFmtId="0" fontId="21" fillId="49" borderId="32" xfId="0" applyFont="1" applyFill="1" applyBorder="1" applyAlignment="1">
      <alignment horizontal="center" vertical="center" wrapText="1"/>
    </xf>
    <xf numFmtId="0" fontId="21" fillId="49" borderId="33" xfId="0" applyFont="1" applyFill="1" applyBorder="1" applyAlignment="1">
      <alignment horizontal="center" vertical="center" wrapText="1"/>
    </xf>
    <xf numFmtId="0" fontId="43" fillId="53" borderId="34" xfId="0" applyFont="1" applyFill="1" applyBorder="1" applyAlignment="1">
      <alignment vertical="center"/>
    </xf>
    <xf numFmtId="0" fontId="43" fillId="53" borderId="35" xfId="0" applyFont="1" applyFill="1" applyBorder="1" applyAlignment="1">
      <alignment vertical="center"/>
    </xf>
    <xf numFmtId="0" fontId="43" fillId="53" borderId="36" xfId="0" applyFont="1" applyFill="1" applyBorder="1" applyAlignment="1">
      <alignment vertical="center"/>
    </xf>
    <xf numFmtId="1" fontId="43" fillId="49" borderId="34" xfId="0" applyNumberFormat="1" applyFont="1" applyFill="1" applyBorder="1" applyAlignment="1">
      <alignment horizontal="center" vertical="center"/>
    </xf>
    <xf numFmtId="0" fontId="16" fillId="58" borderId="35" xfId="0" applyFont="1" applyFill="1" applyBorder="1" applyAlignment="1">
      <alignment vertical="top"/>
    </xf>
    <xf numFmtId="49" fontId="0" fillId="58" borderId="35" xfId="0" applyNumberFormat="1" applyFill="1" applyBorder="1" applyAlignment="1">
      <alignment horizontal="center" vertical="top"/>
    </xf>
    <xf numFmtId="1" fontId="0" fillId="58" borderId="35" xfId="0" applyNumberFormat="1" applyFill="1" applyBorder="1" applyAlignment="1">
      <alignment horizontal="center" vertical="top"/>
    </xf>
    <xf numFmtId="0" fontId="0" fillId="58" borderId="35" xfId="0" applyFill="1" applyBorder="1" applyAlignment="1">
      <alignment horizontal="center" vertical="top"/>
    </xf>
    <xf numFmtId="0" fontId="0" fillId="58" borderId="35" xfId="0" applyFill="1" applyBorder="1" applyAlignment="1">
      <alignment vertical="top" wrapText="1"/>
    </xf>
    <xf numFmtId="0" fontId="0" fillId="58" borderId="35" xfId="0" applyFill="1" applyBorder="1" applyAlignment="1">
      <alignment vertical="top"/>
    </xf>
    <xf numFmtId="0" fontId="0" fillId="0" borderId="35" xfId="0" applyBorder="1" applyAlignment="1">
      <alignment horizontal="center" vertical="top"/>
    </xf>
    <xf numFmtId="9" fontId="0" fillId="0" borderId="35" xfId="0" applyNumberFormat="1" applyBorder="1" applyAlignment="1">
      <alignment horizontal="center" vertical="top"/>
    </xf>
    <xf numFmtId="0" fontId="0" fillId="0" borderId="36" xfId="0" applyBorder="1" applyAlignment="1">
      <alignment vertical="top"/>
    </xf>
    <xf numFmtId="1" fontId="0" fillId="0" borderId="34" xfId="0" applyNumberFormat="1" applyBorder="1" applyAlignment="1">
      <alignment horizontal="center"/>
    </xf>
    <xf numFmtId="0" fontId="16" fillId="0" borderId="35" xfId="0" applyFont="1" applyBorder="1"/>
    <xf numFmtId="170" fontId="0" fillId="0" borderId="35" xfId="0" applyNumberFormat="1" applyBorder="1" applyAlignment="1">
      <alignment horizontal="center"/>
    </xf>
    <xf numFmtId="1" fontId="0" fillId="0" borderId="35" xfId="0" applyNumberForma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5" xfId="0" applyBorder="1" applyAlignment="1">
      <alignment wrapText="1"/>
    </xf>
    <xf numFmtId="0" fontId="0" fillId="0" borderId="35" xfId="0" applyBorder="1"/>
    <xf numFmtId="9" fontId="0" fillId="0" borderId="35" xfId="0" applyNumberFormat="1" applyBorder="1" applyAlignment="1">
      <alignment horizontal="center"/>
    </xf>
    <xf numFmtId="0" fontId="0" fillId="0" borderId="36" xfId="0" applyBorder="1"/>
    <xf numFmtId="1" fontId="43" fillId="54" borderId="34" xfId="0" applyNumberFormat="1" applyFont="1" applyFill="1" applyBorder="1" applyAlignment="1">
      <alignment horizontal="center" vertical="center"/>
    </xf>
    <xf numFmtId="1" fontId="21" fillId="54" borderId="35" xfId="0" applyNumberFormat="1" applyFont="1" applyFill="1" applyBorder="1" applyAlignment="1">
      <alignment horizontal="center" vertical="center"/>
    </xf>
    <xf numFmtId="1" fontId="43" fillId="54" borderId="35" xfId="0" applyNumberFormat="1" applyFont="1" applyFill="1" applyBorder="1" applyAlignment="1">
      <alignment horizontal="center" vertical="center"/>
    </xf>
    <xf numFmtId="1" fontId="43" fillId="54" borderId="36" xfId="0" applyNumberFormat="1" applyFont="1" applyFill="1" applyBorder="1" applyAlignment="1">
      <alignment horizontal="center" vertical="center"/>
    </xf>
    <xf numFmtId="0" fontId="16" fillId="59" borderId="35" xfId="0" applyFont="1" applyFill="1" applyBorder="1" applyAlignment="1">
      <alignment vertical="top"/>
    </xf>
    <xf numFmtId="170" fontId="0" fillId="59" borderId="35" xfId="0" applyNumberFormat="1" applyFill="1" applyBorder="1" applyAlignment="1">
      <alignment horizontal="center" vertical="top"/>
    </xf>
    <xf numFmtId="1" fontId="0" fillId="59" borderId="35" xfId="0" applyNumberFormat="1" applyFill="1" applyBorder="1" applyAlignment="1">
      <alignment horizontal="center" vertical="top"/>
    </xf>
    <xf numFmtId="0" fontId="0" fillId="59" borderId="35" xfId="0" applyFill="1" applyBorder="1" applyAlignment="1">
      <alignment horizontal="center" vertical="top"/>
    </xf>
    <xf numFmtId="0" fontId="0" fillId="59" borderId="35" xfId="0" applyFill="1" applyBorder="1" applyAlignment="1">
      <alignment vertical="top" wrapText="1"/>
    </xf>
    <xf numFmtId="0" fontId="0" fillId="59" borderId="35" xfId="0" applyFill="1" applyBorder="1" applyAlignment="1">
      <alignment vertical="top"/>
    </xf>
    <xf numFmtId="170" fontId="0" fillId="58" borderId="35" xfId="0" applyNumberFormat="1" applyFill="1" applyBorder="1" applyAlignment="1">
      <alignment horizontal="center" vertical="top"/>
    </xf>
    <xf numFmtId="1" fontId="43" fillId="55" borderId="34" xfId="0" applyNumberFormat="1" applyFont="1" applyFill="1" applyBorder="1" applyAlignment="1">
      <alignment horizontal="center" vertical="center"/>
    </xf>
    <xf numFmtId="1" fontId="21" fillId="55" borderId="35" xfId="0" applyNumberFormat="1" applyFont="1" applyFill="1" applyBorder="1" applyAlignment="1">
      <alignment horizontal="center" vertical="center"/>
    </xf>
    <xf numFmtId="1" fontId="43" fillId="55" borderId="35" xfId="0" applyNumberFormat="1" applyFont="1" applyFill="1" applyBorder="1" applyAlignment="1">
      <alignment horizontal="center" vertical="center"/>
    </xf>
    <xf numFmtId="1" fontId="43" fillId="55" borderId="36" xfId="0" applyNumberFormat="1" applyFont="1" applyFill="1" applyBorder="1" applyAlignment="1">
      <alignment horizontal="center" vertical="center"/>
    </xf>
    <xf numFmtId="1" fontId="43" fillId="56" borderId="34" xfId="0" applyNumberFormat="1" applyFont="1" applyFill="1" applyBorder="1" applyAlignment="1">
      <alignment horizontal="center" vertical="center"/>
    </xf>
    <xf numFmtId="1" fontId="21" fillId="56" borderId="35" xfId="0" applyNumberFormat="1" applyFont="1" applyFill="1" applyBorder="1" applyAlignment="1">
      <alignment horizontal="center" vertical="center"/>
    </xf>
    <xf numFmtId="1" fontId="43" fillId="56" borderId="35" xfId="0" applyNumberFormat="1" applyFont="1" applyFill="1" applyBorder="1" applyAlignment="1">
      <alignment horizontal="center" vertical="center"/>
    </xf>
    <xf numFmtId="1" fontId="43" fillId="56" borderId="36" xfId="0" applyNumberFormat="1" applyFont="1" applyFill="1" applyBorder="1" applyAlignment="1">
      <alignment horizontal="center" vertical="center"/>
    </xf>
    <xf numFmtId="1" fontId="43" fillId="57" borderId="34" xfId="0" applyNumberFormat="1" applyFont="1" applyFill="1" applyBorder="1" applyAlignment="1">
      <alignment horizontal="center" vertical="center"/>
    </xf>
    <xf numFmtId="1" fontId="21" fillId="57" borderId="35" xfId="0" applyNumberFormat="1" applyFont="1" applyFill="1" applyBorder="1" applyAlignment="1">
      <alignment horizontal="center" vertical="center"/>
    </xf>
    <xf numFmtId="1" fontId="43" fillId="57" borderId="35" xfId="0" applyNumberFormat="1" applyFont="1" applyFill="1" applyBorder="1" applyAlignment="1">
      <alignment horizontal="center" vertical="center"/>
    </xf>
    <xf numFmtId="1" fontId="43" fillId="57" borderId="36" xfId="0" applyNumberFormat="1" applyFont="1" applyFill="1" applyBorder="1" applyAlignment="1">
      <alignment horizontal="center" vertical="center"/>
    </xf>
    <xf numFmtId="1" fontId="43" fillId="49" borderId="37" xfId="0" applyNumberFormat="1" applyFont="1" applyFill="1" applyBorder="1" applyAlignment="1">
      <alignment horizontal="center" vertical="center"/>
    </xf>
    <xf numFmtId="0" fontId="16" fillId="59" borderId="38" xfId="0" applyFont="1" applyFill="1" applyBorder="1" applyAlignment="1">
      <alignment vertical="top"/>
    </xf>
    <xf numFmtId="170" fontId="0" fillId="59" borderId="38" xfId="0" applyNumberFormat="1" applyFill="1" applyBorder="1" applyAlignment="1">
      <alignment horizontal="center" vertical="top"/>
    </xf>
    <xf numFmtId="1" fontId="0" fillId="59" borderId="38" xfId="0" applyNumberFormat="1" applyFill="1" applyBorder="1" applyAlignment="1">
      <alignment horizontal="center" vertical="top"/>
    </xf>
    <xf numFmtId="0" fontId="0" fillId="59" borderId="38" xfId="0" applyFill="1" applyBorder="1" applyAlignment="1">
      <alignment horizontal="center" vertical="top"/>
    </xf>
    <xf numFmtId="0" fontId="0" fillId="59" borderId="38" xfId="0" applyFill="1" applyBorder="1" applyAlignment="1">
      <alignment vertical="top" wrapText="1"/>
    </xf>
    <xf numFmtId="0" fontId="0" fillId="59" borderId="38" xfId="0" applyFill="1" applyBorder="1" applyAlignment="1">
      <alignment vertical="top"/>
    </xf>
    <xf numFmtId="0" fontId="0" fillId="0" borderId="38" xfId="0" applyBorder="1" applyAlignment="1">
      <alignment horizontal="center" vertical="top"/>
    </xf>
    <xf numFmtId="9" fontId="0" fillId="0" borderId="38" xfId="0" applyNumberFormat="1" applyBorder="1" applyAlignment="1">
      <alignment horizontal="center" vertical="top"/>
    </xf>
    <xf numFmtId="0" fontId="0" fillId="0" borderId="39" xfId="0" applyBorder="1" applyAlignment="1">
      <alignment vertical="top"/>
    </xf>
    <xf numFmtId="0" fontId="43" fillId="54" borderId="0" xfId="0" applyFont="1" applyFill="1" applyAlignment="1">
      <alignment vertical="center"/>
    </xf>
    <xf numFmtId="0" fontId="21" fillId="58" borderId="0" xfId="0" applyFont="1" applyFill="1" applyAlignment="1">
      <alignment horizontal="center" wrapText="1"/>
    </xf>
    <xf numFmtId="0" fontId="35" fillId="58" borderId="0" xfId="0" applyFont="1" applyFill="1" applyAlignment="1">
      <alignment horizontal="center"/>
    </xf>
    <xf numFmtId="0" fontId="21" fillId="49" borderId="38" xfId="0" applyFont="1" applyFill="1" applyBorder="1" applyAlignment="1">
      <alignment horizontal="center" wrapText="1"/>
    </xf>
    <xf numFmtId="0" fontId="35" fillId="51" borderId="32" xfId="0" applyFont="1" applyFill="1" applyBorder="1" applyAlignment="1">
      <alignment horizontal="center"/>
    </xf>
    <xf numFmtId="0" fontId="45" fillId="51" borderId="0" xfId="42" applyFont="1" applyFill="1" applyAlignment="1">
      <alignment horizontal="center"/>
    </xf>
    <xf numFmtId="0" fontId="16" fillId="51" borderId="0" xfId="0" applyFont="1" applyFill="1" applyAlignment="1">
      <alignment horizontal="center"/>
    </xf>
    <xf numFmtId="0" fontId="20" fillId="51" borderId="0" xfId="0" applyFont="1" applyFill="1" applyAlignment="1">
      <alignment wrapText="1"/>
    </xf>
    <xf numFmtId="0" fontId="0" fillId="51" borderId="0" xfId="0" applyFill="1" applyAlignment="1">
      <alignment wrapText="1"/>
    </xf>
    <xf numFmtId="0" fontId="46" fillId="0" borderId="0" xfId="0" applyFont="1"/>
    <xf numFmtId="0" fontId="0" fillId="0" borderId="28" xfId="0" applyBorder="1"/>
    <xf numFmtId="0" fontId="16" fillId="0" borderId="28" xfId="0" applyFont="1" applyBorder="1"/>
    <xf numFmtId="164" fontId="0" fillId="0" borderId="28" xfId="0" applyNumberFormat="1" applyBorder="1" applyAlignment="1">
      <alignment horizontal="left"/>
    </xf>
    <xf numFmtId="0" fontId="0" fillId="0" borderId="28" xfId="0" applyBorder="1" applyAlignment="1">
      <alignment horizontal="left"/>
    </xf>
    <xf numFmtId="164" fontId="0" fillId="0" borderId="29" xfId="0" applyNumberFormat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47" fillId="0" borderId="0" xfId="0" applyFont="1"/>
    <xf numFmtId="0" fontId="48" fillId="0" borderId="0" xfId="0" applyFont="1"/>
  </cellXfs>
  <cellStyles count="43">
    <cellStyle name="20% - Accent1" xfId="19" xr:uid="{00000000-0005-0000-0000-000000000000}"/>
    <cellStyle name="20% - Accent2" xfId="23" xr:uid="{00000000-0005-0000-0000-000001000000}"/>
    <cellStyle name="20% - Accent3" xfId="27" xr:uid="{00000000-0005-0000-0000-000002000000}"/>
    <cellStyle name="20% - Accent4" xfId="31" xr:uid="{00000000-0005-0000-0000-000003000000}"/>
    <cellStyle name="20% - Accent5" xfId="35" xr:uid="{00000000-0005-0000-0000-000004000000}"/>
    <cellStyle name="20% - Accent6" xfId="39" xr:uid="{00000000-0005-0000-0000-000005000000}"/>
    <cellStyle name="40% - Accent1" xfId="20" xr:uid="{00000000-0005-0000-0000-000006000000}"/>
    <cellStyle name="40% - Accent2" xfId="24" xr:uid="{00000000-0005-0000-0000-000007000000}"/>
    <cellStyle name="40% - Accent3" xfId="28" xr:uid="{00000000-0005-0000-0000-000008000000}"/>
    <cellStyle name="40% - Accent4" xfId="32" xr:uid="{00000000-0005-0000-0000-000009000000}"/>
    <cellStyle name="40% - Accent5" xfId="36" xr:uid="{00000000-0005-0000-0000-00000A000000}"/>
    <cellStyle name="40% - Accent6" xfId="40" xr:uid="{00000000-0005-0000-0000-00000B000000}"/>
    <cellStyle name="60% - Accent1" xfId="21" xr:uid="{00000000-0005-0000-0000-00000C000000}"/>
    <cellStyle name="60% - Accent2" xfId="25" xr:uid="{00000000-0005-0000-0000-00000D000000}"/>
    <cellStyle name="60% - Accent3" xfId="29" xr:uid="{00000000-0005-0000-0000-00000E000000}"/>
    <cellStyle name="60% - Accent4" xfId="33" xr:uid="{00000000-0005-0000-0000-00000F000000}"/>
    <cellStyle name="60% - Accent5" xfId="37" xr:uid="{00000000-0005-0000-0000-000010000000}"/>
    <cellStyle name="60% - Accent6" xfId="41" xr:uid="{00000000-0005-0000-0000-000011000000}"/>
    <cellStyle name="Accent1" xfId="18" xr:uid="{00000000-0005-0000-0000-000012000000}"/>
    <cellStyle name="Accent2" xfId="22" xr:uid="{00000000-0005-0000-0000-000013000000}"/>
    <cellStyle name="Accent3" xfId="26" xr:uid="{00000000-0005-0000-0000-000014000000}"/>
    <cellStyle name="Accent4" xfId="30" xr:uid="{00000000-0005-0000-0000-000015000000}"/>
    <cellStyle name="Accent5" xfId="34" xr:uid="{00000000-0005-0000-0000-000016000000}"/>
    <cellStyle name="Accent6" xfId="38" xr:uid="{00000000-0005-0000-0000-000017000000}"/>
    <cellStyle name="Bad" xfId="7" xr:uid="{00000000-0005-0000-0000-000018000000}"/>
    <cellStyle name="Calculation" xfId="11" xr:uid="{00000000-0005-0000-0000-000019000000}"/>
    <cellStyle name="Check Cell" xfId="13" xr:uid="{00000000-0005-0000-0000-00001A000000}"/>
    <cellStyle name="Explanatory Text" xfId="16" xr:uid="{00000000-0005-0000-0000-00001B000000}"/>
    <cellStyle name="Good" xfId="6" xr:uid="{00000000-0005-0000-0000-00001C000000}"/>
    <cellStyle name="Heading 1" xfId="2" xr:uid="{00000000-0005-0000-0000-00001D000000}"/>
    <cellStyle name="Heading 2" xfId="3" xr:uid="{00000000-0005-0000-0000-00001E000000}"/>
    <cellStyle name="Heading 3" xfId="4" xr:uid="{00000000-0005-0000-0000-00001F000000}"/>
    <cellStyle name="Heading 4" xfId="5" xr:uid="{00000000-0005-0000-0000-000020000000}"/>
    <cellStyle name="Hyperlink" xfId="42" xr:uid="{00000000-0005-0000-0000-000021000000}"/>
    <cellStyle name="Input" xfId="9" xr:uid="{00000000-0005-0000-0000-000022000000}"/>
    <cellStyle name="Linked Cell" xfId="12" xr:uid="{00000000-0005-0000-0000-000023000000}"/>
    <cellStyle name="Neutral" xfId="8" xr:uid="{00000000-0005-0000-0000-000024000000}"/>
    <cellStyle name="Normal" xfId="0" builtinId="0"/>
    <cellStyle name="Note" xfId="15" xr:uid="{00000000-0005-0000-0000-000026000000}"/>
    <cellStyle name="Output" xfId="10" xr:uid="{00000000-0005-0000-0000-000027000000}"/>
    <cellStyle name="Title" xfId="1" xr:uid="{00000000-0005-0000-0000-000028000000}"/>
    <cellStyle name="Total" xfId="17" xr:uid="{00000000-0005-0000-0000-000029000000}"/>
    <cellStyle name="Warning Text" xfId="14" xr:uid="{00000000-0005-0000-0000-00002A000000}"/>
  </cellStyles>
  <dxfs count="96"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CE4E4"/>
        </patternFill>
      </fill>
    </dxf>
    <dxf>
      <font>
        <b/>
        <i val="0"/>
        <color rgb="FF808080"/>
      </font>
      <fill>
        <patternFill patternType="solid">
          <fgColor indexed="64"/>
          <bgColor rgb="FFF2F2F2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38761D"/>
      </font>
      <fill>
        <patternFill patternType="solid">
          <fgColor indexed="64"/>
          <bgColor rgb="FFD9EAD3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Basis vs Estimated Value by Series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Dashboard!$O$8</c:f>
              <c:strCache>
                <c:ptCount val="1"/>
                <c:pt idx="0">
                  <c:v>Cost Basis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Dashboard!$N$9:$N$16</c:f>
              <c:strCache>
                <c:ptCount val="8"/>
                <c:pt idx="0">
                  <c:v>Absolute Batman</c:v>
                </c:pt>
                <c:pt idx="1">
                  <c:v>Absolute Superman</c:v>
                </c:pt>
                <c:pt idx="2">
                  <c:v>Absolute Wonder Woman</c:v>
                </c:pt>
                <c:pt idx="3">
                  <c:v>Absolute Flash</c:v>
                </c:pt>
                <c:pt idx="4">
                  <c:v>Absolute Green Lantern</c:v>
                </c:pt>
                <c:pt idx="5">
                  <c:v>Absolute Martian Manhunter</c:v>
                </c:pt>
                <c:pt idx="6">
                  <c:v>Absolute Catwoman</c:v>
                </c:pt>
                <c:pt idx="7">
                  <c:v>Absolute Green Arrow</c:v>
                </c:pt>
              </c:strCache>
            </c:strRef>
          </c:cat>
          <c:val>
            <c:numRef>
              <c:f>Dashboard!$O$9:$O$16</c:f>
              <c:numCache>
                <c:formatCode>"$"#,##0.00</c:formatCode>
                <c:ptCount val="8"/>
                <c:pt idx="0">
                  <c:v>142.76</c:v>
                </c:pt>
                <c:pt idx="1">
                  <c:v>116.77999999999997</c:v>
                </c:pt>
                <c:pt idx="2">
                  <c:v>110.29999999999998</c:v>
                </c:pt>
                <c:pt idx="3">
                  <c:v>86.839999999999989</c:v>
                </c:pt>
                <c:pt idx="4">
                  <c:v>94.829999999999984</c:v>
                </c:pt>
                <c:pt idx="5">
                  <c:v>76.910000000000011</c:v>
                </c:pt>
                <c:pt idx="6">
                  <c:v>17.97</c:v>
                </c:pt>
                <c:pt idx="7">
                  <c:v>16.97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F8-E241-B081-60B6DF35624F}"/>
            </c:ext>
          </c:extLst>
        </c:ser>
        <c:ser>
          <c:idx val="1"/>
          <c:order val="1"/>
          <c:tx>
            <c:strRef>
              <c:f>Dashboard!$P$8</c:f>
              <c:strCache>
                <c:ptCount val="1"/>
                <c:pt idx="0">
                  <c:v>Est.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Dashboard!$N$9:$N$16</c:f>
              <c:strCache>
                <c:ptCount val="8"/>
                <c:pt idx="0">
                  <c:v>Absolute Batman</c:v>
                </c:pt>
                <c:pt idx="1">
                  <c:v>Absolute Superman</c:v>
                </c:pt>
                <c:pt idx="2">
                  <c:v>Absolute Wonder Woman</c:v>
                </c:pt>
                <c:pt idx="3">
                  <c:v>Absolute Flash</c:v>
                </c:pt>
                <c:pt idx="4">
                  <c:v>Absolute Green Lantern</c:v>
                </c:pt>
                <c:pt idx="5">
                  <c:v>Absolute Martian Manhunter</c:v>
                </c:pt>
                <c:pt idx="6">
                  <c:v>Absolute Catwoman</c:v>
                </c:pt>
                <c:pt idx="7">
                  <c:v>Absolute Green Arrow</c:v>
                </c:pt>
              </c:strCache>
            </c:strRef>
          </c:cat>
          <c:val>
            <c:numRef>
              <c:f>Dashboard!$P$9:$P$16</c:f>
              <c:numCache>
                <c:formatCode>"$"#,##0.00</c:formatCode>
                <c:ptCount val="8"/>
                <c:pt idx="0">
                  <c:v>228.04099999999994</c:v>
                </c:pt>
                <c:pt idx="1">
                  <c:v>200.47199999999998</c:v>
                </c:pt>
                <c:pt idx="2">
                  <c:v>208.202</c:v>
                </c:pt>
                <c:pt idx="3">
                  <c:v>153.17799999999997</c:v>
                </c:pt>
                <c:pt idx="4">
                  <c:v>160.95999999999995</c:v>
                </c:pt>
                <c:pt idx="5">
                  <c:v>108.452</c:v>
                </c:pt>
                <c:pt idx="6">
                  <c:v>31.167999999999999</c:v>
                </c:pt>
                <c:pt idx="7">
                  <c:v>24.771999999999998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F8-E241-B081-60B6DF356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51296640"/>
        <c:axId val="1351300672"/>
      </c:barChart>
      <c:catAx>
        <c:axId val="1351296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1300672"/>
        <c:crosses val="autoZero"/>
        <c:auto val="1"/>
        <c:lblAlgn val="ctr"/>
        <c:lblOffset val="100"/>
        <c:noMultiLvlLbl val="0"/>
      </c:catAx>
      <c:valAx>
        <c:axId val="135130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1296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Share of Estimated Value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Dashboard!$O$19</c:f>
              <c:strCache>
                <c:ptCount val="1"/>
                <c:pt idx="0">
                  <c:v>Est. Value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Dashboard!$N$20:$N$25</c:f>
              <c:strCache>
                <c:ptCount val="6"/>
                <c:pt idx="0">
                  <c:v>Regular</c:v>
                </c:pt>
                <c:pt idx="1">
                  <c:v>Variant</c:v>
                </c:pt>
                <c:pt idx="2">
                  <c:v>Foil Variant</c:v>
                </c:pt>
                <c:pt idx="3">
                  <c:v>Incentive 1:25</c:v>
                </c:pt>
                <c:pt idx="4">
                  <c:v>Later Printing</c:v>
                </c:pt>
                <c:pt idx="5">
                  <c:v>Annual/Special</c:v>
                </c:pt>
              </c:strCache>
            </c:strRef>
          </c:cat>
          <c:val>
            <c:numRef>
              <c:f>Dashboard!$O$20:$O$25</c:f>
              <c:numCache>
                <c:formatCode>"$"#,##0.00</c:formatCode>
                <c:ptCount val="6"/>
                <c:pt idx="0">
                  <c:v>507.76000000000022</c:v>
                </c:pt>
                <c:pt idx="1">
                  <c:v>394.53399999999999</c:v>
                </c:pt>
                <c:pt idx="2">
                  <c:v>109.97499999999999</c:v>
                </c:pt>
                <c:pt idx="3">
                  <c:v>39.92</c:v>
                </c:pt>
                <c:pt idx="4">
                  <c:v>73.055999999999997</c:v>
                </c:pt>
                <c:pt idx="5">
                  <c:v>62.91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2A-A846-A5A0-6E7F2DE1C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Run Completeness by Series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Dashboard!$O$28</c:f>
              <c:strCache>
                <c:ptCount val="1"/>
                <c:pt idx="0">
                  <c:v>% Complete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Dashboard!$N$29:$N$36</c:f>
              <c:strCache>
                <c:ptCount val="8"/>
                <c:pt idx="0">
                  <c:v>Absolute Batman</c:v>
                </c:pt>
                <c:pt idx="1">
                  <c:v>Absolute Superman</c:v>
                </c:pt>
                <c:pt idx="2">
                  <c:v>Absolute Wonder Woman</c:v>
                </c:pt>
                <c:pt idx="3">
                  <c:v>Absolute Flash</c:v>
                </c:pt>
                <c:pt idx="4">
                  <c:v>Absolute Green Lantern</c:v>
                </c:pt>
                <c:pt idx="5">
                  <c:v>Absolute Martian Manhunter</c:v>
                </c:pt>
                <c:pt idx="6">
                  <c:v>Absolute Catwoman</c:v>
                </c:pt>
                <c:pt idx="7">
                  <c:v>Absolute Green Arrow</c:v>
                </c:pt>
              </c:strCache>
            </c:strRef>
          </c:cat>
          <c:val>
            <c:numRef>
              <c:f>Dashboard!$O$29:$O$36</c:f>
              <c:numCache>
                <c:formatCode>0.0%</c:formatCode>
                <c:ptCount val="8"/>
                <c:pt idx="0">
                  <c:v>1</c:v>
                </c:pt>
                <c:pt idx="1">
                  <c:v>0.95652173913043481</c:v>
                </c:pt>
                <c:pt idx="2">
                  <c:v>0.86956521739130432</c:v>
                </c:pt>
                <c:pt idx="3">
                  <c:v>0.88888888888888884</c:v>
                </c:pt>
                <c:pt idx="4">
                  <c:v>0.94444444444444442</c:v>
                </c:pt>
                <c:pt idx="5">
                  <c:v>0.91666666666666663</c:v>
                </c:pt>
                <c:pt idx="6">
                  <c:v>1</c:v>
                </c:pt>
                <c:pt idx="7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2-194C-8456-17AD483A9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51390016"/>
        <c:axId val="1351385984"/>
      </c:barChart>
      <c:catAx>
        <c:axId val="1351390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1385984"/>
        <c:crosses val="autoZero"/>
        <c:auto val="1"/>
        <c:lblAlgn val="ctr"/>
        <c:lblOffset val="100"/>
        <c:noMultiLvlLbl val="0"/>
      </c:catAx>
      <c:valAx>
        <c:axId val="1351385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1390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6</xdr:col>
      <xdr:colOff>0</xdr:colOff>
      <xdr:row>49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705A4A6-C15C-A6C4-0C98-26131CD69C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30</xdr:row>
      <xdr:rowOff>0</xdr:rowOff>
    </xdr:from>
    <xdr:to>
      <xdr:col>12</xdr:col>
      <xdr:colOff>0</xdr:colOff>
      <xdr:row>49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851DACA-CCD2-8328-4110-00056D68CF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50</xdr:row>
      <xdr:rowOff>0</xdr:rowOff>
    </xdr:from>
    <xdr:to>
      <xdr:col>6</xdr:col>
      <xdr:colOff>0</xdr:colOff>
      <xdr:row>68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C43C93B-1335-4283-2CF5-21DECC4A1D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1955800</xdr:colOff>
      <xdr:row>64</xdr:row>
      <xdr:rowOff>127000</xdr:rowOff>
    </xdr:to>
    <xdr:sp macro="" textlink="">
      <xdr:nvSpPr>
        <xdr:cNvPr id="1043" name="Text Box 19" hidden="1">
          <a:extLst>
            <a:ext uri="{FF2B5EF4-FFF2-40B4-BE49-F238E27FC236}">
              <a16:creationId xmlns:a16="http://schemas.microsoft.com/office/drawing/2014/main" id="{B656512E-A204-37F1-CB30-A49E79C30FA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939800</xdr:colOff>
      <xdr:row>63</xdr:row>
      <xdr:rowOff>177800</xdr:rowOff>
    </xdr:to>
    <xdr:sp macro="" textlink="">
      <xdr:nvSpPr>
        <xdr:cNvPr id="2059" name="Text Box 11" hidden="1">
          <a:extLst>
            <a:ext uri="{FF2B5EF4-FFF2-40B4-BE49-F238E27FC236}">
              <a16:creationId xmlns:a16="http://schemas.microsoft.com/office/drawing/2014/main" id="{2C8C93D1-E8F4-0491-F24B-16226B3055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3B362EB-D9FA-514A-A96E-02D667ADA07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3b4d479-b093-4e46-ab97-5a4766b192c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AE2CF-5E14-3647-9EFF-2EBF17E5F278}">
  <dimension ref="A1:P36"/>
  <sheetViews>
    <sheetView tabSelected="1" workbookViewId="0">
      <pane ySplit="5" topLeftCell="A18" activePane="bottomLeft" state="frozen"/>
      <selection pane="bottomLeft" activeCell="Q23" sqref="Q23"/>
    </sheetView>
  </sheetViews>
  <sheetFormatPr baseColWidth="10" defaultRowHeight="15" x14ac:dyDescent="0.2"/>
  <cols>
    <col min="1" max="1" width="35.83203125" customWidth="1"/>
    <col min="2" max="10" width="18.6640625" customWidth="1"/>
    <col min="14" max="14" width="33.33203125" customWidth="1"/>
    <col min="15" max="16" width="18.33203125" customWidth="1"/>
  </cols>
  <sheetData>
    <row r="1" spans="1:16" ht="24" x14ac:dyDescent="0.3">
      <c r="A1" s="98" t="s">
        <v>461</v>
      </c>
    </row>
    <row r="2" spans="1:16" x14ac:dyDescent="0.2">
      <c r="A2" s="4" t="s">
        <v>462</v>
      </c>
    </row>
    <row r="3" spans="1:16" x14ac:dyDescent="0.2">
      <c r="A3" s="4" t="s">
        <v>481</v>
      </c>
    </row>
    <row r="4" spans="1:16" x14ac:dyDescent="0.2">
      <c r="A4" s="100" t="s">
        <v>463</v>
      </c>
      <c r="B4" s="100" t="s">
        <v>464</v>
      </c>
      <c r="C4" s="100" t="s">
        <v>465</v>
      </c>
      <c r="D4" s="100" t="s">
        <v>442</v>
      </c>
      <c r="E4" s="100" t="s">
        <v>466</v>
      </c>
      <c r="F4" s="100" t="s">
        <v>467</v>
      </c>
      <c r="G4" s="100" t="s">
        <v>468</v>
      </c>
    </row>
    <row r="5" spans="1:16" ht="22" x14ac:dyDescent="0.3">
      <c r="A5" s="101">
        <f>COUNTA('Pricing Tracker'!A2:A122)</f>
        <v>121</v>
      </c>
      <c r="B5" s="101">
        <f>COUNTA('Missing Issues'!A4:A11)</f>
        <v>8</v>
      </c>
      <c r="C5" s="102">
        <f>SUM('Pricing Tracker'!I2:I122)</f>
        <v>688.32000000000085</v>
      </c>
      <c r="D5" s="102">
        <f>SUM('Pricing Tracker'!K2:K122)</f>
        <v>1188.1550000000009</v>
      </c>
      <c r="E5" s="102">
        <f>D5-C5</f>
        <v>499.83500000000004</v>
      </c>
      <c r="F5" s="103">
        <f>E5/C5</f>
        <v>0.72616660855416004</v>
      </c>
      <c r="G5" s="101">
        <f>'Missing Issues'!C20</f>
        <v>10</v>
      </c>
    </row>
    <row r="7" spans="1:16" ht="16" x14ac:dyDescent="0.2">
      <c r="A7" s="99" t="s">
        <v>469</v>
      </c>
      <c r="N7" s="112" t="s">
        <v>480</v>
      </c>
    </row>
    <row r="8" spans="1:16" x14ac:dyDescent="0.2">
      <c r="A8" s="83" t="s">
        <v>0</v>
      </c>
      <c r="B8" s="83" t="s">
        <v>470</v>
      </c>
      <c r="C8" s="83" t="s">
        <v>471</v>
      </c>
      <c r="D8" s="83" t="s">
        <v>472</v>
      </c>
      <c r="E8" s="83" t="s">
        <v>473</v>
      </c>
      <c r="F8" s="83" t="s">
        <v>276</v>
      </c>
      <c r="G8" s="83" t="s">
        <v>277</v>
      </c>
      <c r="H8" s="83" t="s">
        <v>278</v>
      </c>
      <c r="I8" s="83" t="s">
        <v>474</v>
      </c>
      <c r="J8" s="83" t="s">
        <v>475</v>
      </c>
      <c r="N8" t="s">
        <v>0</v>
      </c>
      <c r="O8" t="s">
        <v>471</v>
      </c>
      <c r="P8" t="s">
        <v>472</v>
      </c>
    </row>
    <row r="9" spans="1:16" x14ac:dyDescent="0.2">
      <c r="A9" s="107" t="str">
        <f>'Missing Issues'!A4</f>
        <v>Absolute Batman</v>
      </c>
      <c r="B9" s="108">
        <f>COUNTIF('Pricing Tracker'!$A$2:$A$122,$A9)</f>
        <v>24</v>
      </c>
      <c r="C9" s="109">
        <f>SUMIF('Pricing Tracker'!$A$2:$A$122,$A9,'Pricing Tracker'!$I$2:$I$122)</f>
        <v>142.76</v>
      </c>
      <c r="D9" s="109">
        <f>SUMIF('Pricing Tracker'!$A$2:$A$122,$A9,'Pricing Tracker'!$K$2:$K$122)</f>
        <v>228.04099999999994</v>
      </c>
      <c r="E9" s="109">
        <f>D9-C9</f>
        <v>85.280999999999949</v>
      </c>
      <c r="F9" s="108">
        <f>'Missing Issues'!D4</f>
        <v>23</v>
      </c>
      <c r="G9" s="108">
        <f>'Missing Issues'!E4</f>
        <v>23</v>
      </c>
      <c r="H9" s="108">
        <f>'Missing Issues'!F4</f>
        <v>23</v>
      </c>
      <c r="I9" s="108">
        <f>'Missing Issues'!C4</f>
        <v>0</v>
      </c>
      <c r="J9" s="110">
        <f>(H9-I9)/H9</f>
        <v>1</v>
      </c>
      <c r="N9" t="str">
        <f>A9</f>
        <v>Absolute Batman</v>
      </c>
      <c r="O9" s="29">
        <f>C9</f>
        <v>142.76</v>
      </c>
      <c r="P9" s="29">
        <f>D9</f>
        <v>228.04099999999994</v>
      </c>
    </row>
    <row r="10" spans="1:16" x14ac:dyDescent="0.2">
      <c r="A10" s="107" t="str">
        <f>'Missing Issues'!A5</f>
        <v>Absolute Superman</v>
      </c>
      <c r="B10" s="108">
        <f>COUNTIF('Pricing Tracker'!$A$2:$A$122,$A10)</f>
        <v>22</v>
      </c>
      <c r="C10" s="109">
        <f>SUMIF('Pricing Tracker'!$A$2:$A$122,$A10,'Pricing Tracker'!$I$2:$I$122)</f>
        <v>116.77999999999997</v>
      </c>
      <c r="D10" s="109">
        <f>SUMIF('Pricing Tracker'!$A$2:$A$122,$A10,'Pricing Tracker'!$K$2:$K$122)</f>
        <v>200.47199999999998</v>
      </c>
      <c r="E10" s="109">
        <f>D10-C10</f>
        <v>83.692000000000007</v>
      </c>
      <c r="F10" s="108">
        <f>'Missing Issues'!D5</f>
        <v>14</v>
      </c>
      <c r="G10" s="108">
        <f>'Missing Issues'!E5</f>
        <v>23</v>
      </c>
      <c r="H10" s="108">
        <f>'Missing Issues'!F5</f>
        <v>23</v>
      </c>
      <c r="I10" s="108">
        <f>'Missing Issues'!C5</f>
        <v>1</v>
      </c>
      <c r="J10" s="110">
        <f>(H10-I10)/H10</f>
        <v>0.95652173913043481</v>
      </c>
      <c r="N10" t="str">
        <f>A10</f>
        <v>Absolute Superman</v>
      </c>
      <c r="O10" s="29">
        <f>C10</f>
        <v>116.77999999999997</v>
      </c>
      <c r="P10" s="29">
        <f>D10</f>
        <v>200.47199999999998</v>
      </c>
    </row>
    <row r="11" spans="1:16" x14ac:dyDescent="0.2">
      <c r="A11" s="107" t="str">
        <f>'Missing Issues'!A6</f>
        <v>Absolute Wonder Woman</v>
      </c>
      <c r="B11" s="108">
        <f>COUNTIF('Pricing Tracker'!$A$2:$A$122,$A11)</f>
        <v>21</v>
      </c>
      <c r="C11" s="109">
        <f>SUMIF('Pricing Tracker'!$A$2:$A$122,$A11,'Pricing Tracker'!$I$2:$I$122)</f>
        <v>110.29999999999998</v>
      </c>
      <c r="D11" s="109">
        <f>SUMIF('Pricing Tracker'!$A$2:$A$122,$A11,'Pricing Tracker'!$K$2:$K$122)</f>
        <v>208.202</v>
      </c>
      <c r="E11" s="109">
        <f>D11-C11</f>
        <v>97.902000000000015</v>
      </c>
      <c r="F11" s="108">
        <f>'Missing Issues'!D6</f>
        <v>10</v>
      </c>
      <c r="G11" s="108">
        <f>'Missing Issues'!E6</f>
        <v>23</v>
      </c>
      <c r="H11" s="108">
        <f>'Missing Issues'!F6</f>
        <v>23</v>
      </c>
      <c r="I11" s="108">
        <f>'Missing Issues'!C6</f>
        <v>3</v>
      </c>
      <c r="J11" s="110">
        <f>(H11-I11)/H11</f>
        <v>0.86956521739130432</v>
      </c>
      <c r="N11" t="str">
        <f>A11</f>
        <v>Absolute Wonder Woman</v>
      </c>
      <c r="O11" s="29">
        <f>C11</f>
        <v>110.29999999999998</v>
      </c>
      <c r="P11" s="29">
        <f>D11</f>
        <v>208.202</v>
      </c>
    </row>
    <row r="12" spans="1:16" x14ac:dyDescent="0.2">
      <c r="A12" s="107" t="str">
        <f>'Missing Issues'!A7</f>
        <v>Absolute Flash</v>
      </c>
      <c r="B12" s="108">
        <f>COUNTIF('Pricing Tracker'!$A$2:$A$122,$A12)</f>
        <v>16</v>
      </c>
      <c r="C12" s="109">
        <f>SUMIF('Pricing Tracker'!$A$2:$A$122,$A12,'Pricing Tracker'!$I$2:$I$122)</f>
        <v>86.839999999999989</v>
      </c>
      <c r="D12" s="109">
        <f>SUMIF('Pricing Tracker'!$A$2:$A$122,$A12,'Pricing Tracker'!$K$2:$K$122)</f>
        <v>153.17799999999997</v>
      </c>
      <c r="E12" s="109">
        <f>D12-C12</f>
        <v>66.33799999999998</v>
      </c>
      <c r="F12" s="108">
        <f>'Missing Issues'!D7</f>
        <v>7</v>
      </c>
      <c r="G12" s="108">
        <f>'Missing Issues'!E7</f>
        <v>18</v>
      </c>
      <c r="H12" s="108">
        <f>'Missing Issues'!F7</f>
        <v>18</v>
      </c>
      <c r="I12" s="108">
        <f>'Missing Issues'!C7</f>
        <v>2</v>
      </c>
      <c r="J12" s="110">
        <f>(H12-I12)/H12</f>
        <v>0.88888888888888884</v>
      </c>
      <c r="N12" t="str">
        <f>A12</f>
        <v>Absolute Flash</v>
      </c>
      <c r="O12" s="29">
        <f>C12</f>
        <v>86.839999999999989</v>
      </c>
      <c r="P12" s="29">
        <f>D12</f>
        <v>153.17799999999997</v>
      </c>
    </row>
    <row r="13" spans="1:16" x14ac:dyDescent="0.2">
      <c r="A13" s="107" t="str">
        <f>'Missing Issues'!A8</f>
        <v>Absolute Green Lantern</v>
      </c>
      <c r="B13" s="108">
        <f>COUNTIF('Pricing Tracker'!$A$2:$A$122,$A13)</f>
        <v>17</v>
      </c>
      <c r="C13" s="109">
        <f>SUMIF('Pricing Tracker'!$A$2:$A$122,$A13,'Pricing Tracker'!$I$2:$I$122)</f>
        <v>94.829999999999984</v>
      </c>
      <c r="D13" s="109">
        <f>SUMIF('Pricing Tracker'!$A$2:$A$122,$A13,'Pricing Tracker'!$K$2:$K$122)</f>
        <v>160.95999999999995</v>
      </c>
      <c r="E13" s="109">
        <f>D13-C13</f>
        <v>66.129999999999967</v>
      </c>
      <c r="F13" s="108">
        <f>'Missing Issues'!D8</f>
        <v>12</v>
      </c>
      <c r="G13" s="108">
        <f>'Missing Issues'!E8</f>
        <v>18</v>
      </c>
      <c r="H13" s="108">
        <f>'Missing Issues'!F8</f>
        <v>18</v>
      </c>
      <c r="I13" s="108">
        <f>'Missing Issues'!C8</f>
        <v>1</v>
      </c>
      <c r="J13" s="110">
        <f>(H13-I13)/H13</f>
        <v>0.94444444444444442</v>
      </c>
      <c r="N13" t="str">
        <f>A13</f>
        <v>Absolute Green Lantern</v>
      </c>
      <c r="O13" s="29">
        <f>C13</f>
        <v>94.829999999999984</v>
      </c>
      <c r="P13" s="29">
        <f>D13</f>
        <v>160.95999999999995</v>
      </c>
    </row>
    <row r="14" spans="1:16" x14ac:dyDescent="0.2">
      <c r="A14" s="107" t="str">
        <f>'Missing Issues'!A9</f>
        <v>Absolute Martian Manhunter</v>
      </c>
      <c r="B14" s="108">
        <f>COUNTIF('Pricing Tracker'!$A$2:$A$122,$A14)</f>
        <v>11</v>
      </c>
      <c r="C14" s="109">
        <f>SUMIF('Pricing Tracker'!$A$2:$A$122,$A14,'Pricing Tracker'!$I$2:$I$122)</f>
        <v>76.910000000000011</v>
      </c>
      <c r="D14" s="109">
        <f>SUMIF('Pricing Tracker'!$A$2:$A$122,$A14,'Pricing Tracker'!$K$2:$K$122)</f>
        <v>108.452</v>
      </c>
      <c r="E14" s="109">
        <f>D14-C14</f>
        <v>31.541999999999987</v>
      </c>
      <c r="F14" s="108">
        <f>'Missing Issues'!D9</f>
        <v>6</v>
      </c>
      <c r="G14" s="108">
        <f>'Missing Issues'!E9</f>
        <v>12</v>
      </c>
      <c r="H14" s="108">
        <f>'Missing Issues'!F9</f>
        <v>12</v>
      </c>
      <c r="I14" s="108">
        <f>'Missing Issues'!C9</f>
        <v>1</v>
      </c>
      <c r="J14" s="110">
        <f>(H14-I14)/H14</f>
        <v>0.91666666666666663</v>
      </c>
      <c r="N14" t="str">
        <f>A14</f>
        <v>Absolute Martian Manhunter</v>
      </c>
      <c r="O14" s="29">
        <f>C14</f>
        <v>76.910000000000011</v>
      </c>
      <c r="P14" s="29">
        <f>D14</f>
        <v>108.452</v>
      </c>
    </row>
    <row r="15" spans="1:16" x14ac:dyDescent="0.2">
      <c r="A15" s="107" t="str">
        <f>'Missing Issues'!A10</f>
        <v>Absolute Catwoman</v>
      </c>
      <c r="B15" s="108">
        <f>COUNTIF('Pricing Tracker'!$A$2:$A$122,$A15)</f>
        <v>3</v>
      </c>
      <c r="C15" s="109">
        <f>SUMIF('Pricing Tracker'!$A$2:$A$122,$A15,'Pricing Tracker'!$I$2:$I$122)</f>
        <v>17.97</v>
      </c>
      <c r="D15" s="109">
        <f>SUMIF('Pricing Tracker'!$A$2:$A$122,$A15,'Pricing Tracker'!$K$2:$K$122)</f>
        <v>31.167999999999999</v>
      </c>
      <c r="E15" s="109">
        <f>D15-C15</f>
        <v>13.198</v>
      </c>
      <c r="F15" s="108">
        <f>'Missing Issues'!D10</f>
        <v>3</v>
      </c>
      <c r="G15" s="108">
        <f>'Missing Issues'!E10</f>
        <v>3</v>
      </c>
      <c r="H15" s="108">
        <f>'Missing Issues'!F10</f>
        <v>3</v>
      </c>
      <c r="I15" s="108">
        <f>'Missing Issues'!C10</f>
        <v>0</v>
      </c>
      <c r="J15" s="110">
        <f>(H15-I15)/H15</f>
        <v>1</v>
      </c>
      <c r="N15" t="str">
        <f>A15</f>
        <v>Absolute Catwoman</v>
      </c>
      <c r="O15" s="29">
        <f>C15</f>
        <v>17.97</v>
      </c>
      <c r="P15" s="29">
        <f>D15</f>
        <v>31.167999999999999</v>
      </c>
    </row>
    <row r="16" spans="1:16" x14ac:dyDescent="0.2">
      <c r="A16" s="107" t="str">
        <f>'Missing Issues'!A11</f>
        <v>Absolute Green Arrow</v>
      </c>
      <c r="B16" s="108">
        <f>COUNTIF('Pricing Tracker'!$A$2:$A$122,$A16)</f>
        <v>3</v>
      </c>
      <c r="C16" s="109">
        <f>SUMIF('Pricing Tracker'!$A$2:$A$122,$A16,'Pricing Tracker'!$I$2:$I$122)</f>
        <v>16.97</v>
      </c>
      <c r="D16" s="109">
        <f>SUMIF('Pricing Tracker'!$A$2:$A$122,$A16,'Pricing Tracker'!$K$2:$K$122)</f>
        <v>24.771999999999998</v>
      </c>
      <c r="E16" s="109">
        <f>D16-C16</f>
        <v>7.8019999999999996</v>
      </c>
      <c r="F16" s="108">
        <f>'Missing Issues'!D11</f>
        <v>2</v>
      </c>
      <c r="G16" s="108">
        <f>'Missing Issues'!E11</f>
        <v>4</v>
      </c>
      <c r="H16" s="108">
        <f>'Missing Issues'!F11</f>
        <v>4</v>
      </c>
      <c r="I16" s="108">
        <f>'Missing Issues'!C11</f>
        <v>1</v>
      </c>
      <c r="J16" s="110">
        <f>(H16-I16)/H16</f>
        <v>0.75</v>
      </c>
      <c r="N16" t="str">
        <f>A16</f>
        <v>Absolute Green Arrow</v>
      </c>
      <c r="O16" s="29">
        <f>C16</f>
        <v>16.97</v>
      </c>
      <c r="P16" s="29">
        <f>D16</f>
        <v>24.771999999999998</v>
      </c>
    </row>
    <row r="17" spans="1:15" x14ac:dyDescent="0.2">
      <c r="A17" s="107" t="s">
        <v>476</v>
      </c>
      <c r="B17" s="108">
        <f>$A$5-SUM(B9:B16)</f>
        <v>4</v>
      </c>
      <c r="C17" s="109">
        <f>$C$5-SUM(C9:C16)</f>
        <v>24.960000000000946</v>
      </c>
      <c r="D17" s="109">
        <f>$D$5-SUM(D9:D16)</f>
        <v>72.910000000001219</v>
      </c>
      <c r="E17" s="109">
        <f>D17-C17</f>
        <v>47.950000000000273</v>
      </c>
      <c r="F17" s="108"/>
      <c r="G17" s="108"/>
      <c r="H17" s="108"/>
      <c r="I17" s="108">
        <f>'Missing Issues'!C15</f>
        <v>1</v>
      </c>
      <c r="J17" s="110"/>
    </row>
    <row r="18" spans="1:15" x14ac:dyDescent="0.2">
      <c r="A18" s="92" t="s">
        <v>477</v>
      </c>
      <c r="B18" s="105">
        <f>SUM(B9:B17)</f>
        <v>121</v>
      </c>
      <c r="C18" s="93">
        <f>SUM(C9:C17)</f>
        <v>688.32000000000085</v>
      </c>
      <c r="D18" s="93">
        <f>SUM(D9:D17)</f>
        <v>1188.1550000000009</v>
      </c>
      <c r="E18" s="93">
        <f>SUM(E9:E17)</f>
        <v>499.83500000000021</v>
      </c>
      <c r="F18" s="105"/>
      <c r="G18" s="105"/>
      <c r="H18" s="105"/>
      <c r="I18" s="105">
        <f>SUM(I9:I17)</f>
        <v>10</v>
      </c>
      <c r="J18" s="106"/>
    </row>
    <row r="19" spans="1:15" x14ac:dyDescent="0.2">
      <c r="N19" t="s">
        <v>423</v>
      </c>
      <c r="O19" t="s">
        <v>472</v>
      </c>
    </row>
    <row r="20" spans="1:15" ht="16" x14ac:dyDescent="0.2">
      <c r="A20" s="99" t="s">
        <v>478</v>
      </c>
      <c r="N20" t="str">
        <f>A22</f>
        <v>Regular</v>
      </c>
      <c r="O20" s="29">
        <f>D22</f>
        <v>507.76000000000022</v>
      </c>
    </row>
    <row r="21" spans="1:15" x14ac:dyDescent="0.2">
      <c r="A21" s="83" t="s">
        <v>423</v>
      </c>
      <c r="B21" s="83" t="s">
        <v>470</v>
      </c>
      <c r="C21" s="83" t="s">
        <v>471</v>
      </c>
      <c r="D21" s="83" t="s">
        <v>472</v>
      </c>
      <c r="E21" s="83" t="s">
        <v>479</v>
      </c>
      <c r="N21" t="str">
        <f>A23</f>
        <v>Variant</v>
      </c>
      <c r="O21" s="29">
        <f>D23</f>
        <v>394.53399999999999</v>
      </c>
    </row>
    <row r="22" spans="1:15" x14ac:dyDescent="0.2">
      <c r="A22" s="107" t="str">
        <f>Assumptions!A5</f>
        <v>Regular</v>
      </c>
      <c r="B22" s="108">
        <f>COUNTIF('Pricing Tracker'!$E$2:$E$122,$A22)</f>
        <v>63</v>
      </c>
      <c r="C22" s="109">
        <f>SUMIF('Pricing Tracker'!$E$2:$E$122,$A22,'Pricing Tracker'!$I$2:$I$122)</f>
        <v>368.90000000000026</v>
      </c>
      <c r="D22" s="109">
        <f>SUMIF('Pricing Tracker'!$E$2:$E$122,$A22,'Pricing Tracker'!$K$2:$K$122)</f>
        <v>507.76000000000022</v>
      </c>
      <c r="E22" s="110">
        <f>D22/$D$28</f>
        <v>0.42735165024765293</v>
      </c>
      <c r="N22" t="str">
        <f>A24</f>
        <v>Foil Variant</v>
      </c>
      <c r="O22" s="29">
        <f>D24</f>
        <v>109.97499999999999</v>
      </c>
    </row>
    <row r="23" spans="1:15" x14ac:dyDescent="0.2">
      <c r="A23" s="107" t="str">
        <f>Assumptions!A6</f>
        <v>Variant</v>
      </c>
      <c r="B23" s="108">
        <f>COUNTIF('Pricing Tracker'!$E$2:$E$122,$A23)</f>
        <v>39</v>
      </c>
      <c r="C23" s="109">
        <f>SUMIF('Pricing Tracker'!$E$2:$E$122,$A23,'Pricing Tracker'!$I$2:$I$122)</f>
        <v>209.61000000000007</v>
      </c>
      <c r="D23" s="109">
        <f>SUMIF('Pricing Tracker'!$E$2:$E$122,$A23,'Pricing Tracker'!$K$2:$K$122)</f>
        <v>394.53399999999999</v>
      </c>
      <c r="E23" s="110">
        <f>D23/$D$28</f>
        <v>0.33205600279424807</v>
      </c>
      <c r="N23" t="str">
        <f>A25</f>
        <v>Incentive 1:25</v>
      </c>
      <c r="O23" s="29">
        <f>D25</f>
        <v>39.92</v>
      </c>
    </row>
    <row r="24" spans="1:15" x14ac:dyDescent="0.2">
      <c r="A24" s="107" t="str">
        <f>Assumptions!A7</f>
        <v>Foil Variant</v>
      </c>
      <c r="B24" s="108">
        <f>COUNTIF('Pricing Tracker'!$E$2:$E$122,$A24)</f>
        <v>4</v>
      </c>
      <c r="C24" s="109">
        <f>SUMIF('Pricing Tracker'!$E$2:$E$122,$A24,'Pricing Tracker'!$I$2:$I$122)</f>
        <v>28.96</v>
      </c>
      <c r="D24" s="109">
        <f>SUMIF('Pricing Tracker'!$E$2:$E$122,$A24,'Pricing Tracker'!$K$2:$K$122)</f>
        <v>109.97499999999999</v>
      </c>
      <c r="E24" s="110">
        <f>D24/$D$28</f>
        <v>9.2559472459401299E-2</v>
      </c>
      <c r="N24" t="str">
        <f>A26</f>
        <v>Later Printing</v>
      </c>
      <c r="O24" s="29">
        <f>D26</f>
        <v>73.055999999999997</v>
      </c>
    </row>
    <row r="25" spans="1:15" x14ac:dyDescent="0.2">
      <c r="A25" s="107" t="str">
        <f>Assumptions!A8</f>
        <v>Incentive 1:25</v>
      </c>
      <c r="B25" s="108">
        <f>COUNTIF('Pricing Tracker'!$E$2:$E$122,$A25)</f>
        <v>1</v>
      </c>
      <c r="C25" s="109">
        <f>SUMIF('Pricing Tracker'!$E$2:$E$122,$A25,'Pricing Tracker'!$I$2:$I$122)</f>
        <v>4.99</v>
      </c>
      <c r="D25" s="109">
        <f>SUMIF('Pricing Tracker'!$E$2:$E$122,$A25,'Pricing Tracker'!$K$2:$K$122)</f>
        <v>39.92</v>
      </c>
      <c r="E25" s="110">
        <f>D25/$D$28</f>
        <v>3.3598309984808367E-2</v>
      </c>
      <c r="N25" t="str">
        <f>A27</f>
        <v>Annual/Special</v>
      </c>
      <c r="O25" s="29">
        <f>D27</f>
        <v>62.91</v>
      </c>
    </row>
    <row r="26" spans="1:15" x14ac:dyDescent="0.2">
      <c r="A26" s="107" t="str">
        <f>Assumptions!A9</f>
        <v>Later Printing</v>
      </c>
      <c r="B26" s="108">
        <f>COUNTIF('Pricing Tracker'!$E$2:$E$122,$A26)</f>
        <v>11</v>
      </c>
      <c r="C26" s="109">
        <f>SUMIF('Pricing Tracker'!$E$2:$E$122,$A26,'Pricing Tracker'!$I$2:$I$122)</f>
        <v>55.890000000000015</v>
      </c>
      <c r="D26" s="109">
        <f>SUMIF('Pricing Tracker'!$E$2:$E$122,$A26,'Pricing Tracker'!$K$2:$K$122)</f>
        <v>73.055999999999997</v>
      </c>
      <c r="E26" s="110">
        <f>D26/$D$28</f>
        <v>6.1486927210675349E-2</v>
      </c>
    </row>
    <row r="27" spans="1:15" x14ac:dyDescent="0.2">
      <c r="A27" s="107" t="str">
        <f>Assumptions!A10</f>
        <v>Annual/Special</v>
      </c>
      <c r="B27" s="108">
        <f>COUNTIF('Pricing Tracker'!$E$2:$E$122,$A27)</f>
        <v>3</v>
      </c>
      <c r="C27" s="109">
        <f>SUMIF('Pricing Tracker'!$E$2:$E$122,$A27,'Pricing Tracker'!$I$2:$I$122)</f>
        <v>19.97</v>
      </c>
      <c r="D27" s="109">
        <f>SUMIF('Pricing Tracker'!$E$2:$E$122,$A27,'Pricing Tracker'!$K$2:$K$122)</f>
        <v>62.91</v>
      </c>
      <c r="E27" s="110">
        <f>D27/$D$28</f>
        <v>5.2947637303213786E-2</v>
      </c>
    </row>
    <row r="28" spans="1:15" x14ac:dyDescent="0.2">
      <c r="A28" s="92" t="s">
        <v>477</v>
      </c>
      <c r="B28" s="105">
        <f>SUM(B22:B27)</f>
        <v>121</v>
      </c>
      <c r="C28" s="93">
        <f>SUM(C22:C27)</f>
        <v>688.32000000000039</v>
      </c>
      <c r="D28" s="93">
        <f>SUM(D22:D27)</f>
        <v>1188.1550000000004</v>
      </c>
      <c r="E28" s="106">
        <f>SUM(E22:E27)</f>
        <v>0.99999999999999989</v>
      </c>
      <c r="N28" t="s">
        <v>0</v>
      </c>
      <c r="O28" t="s">
        <v>475</v>
      </c>
    </row>
    <row r="29" spans="1:15" x14ac:dyDescent="0.2">
      <c r="N29" t="str">
        <f>A9</f>
        <v>Absolute Batman</v>
      </c>
      <c r="O29" s="104">
        <f>J9</f>
        <v>1</v>
      </c>
    </row>
    <row r="30" spans="1:15" x14ac:dyDescent="0.2">
      <c r="A30" s="113" t="s">
        <v>495</v>
      </c>
      <c r="N30" t="str">
        <f>A10</f>
        <v>Absolute Superman</v>
      </c>
      <c r="O30" s="104">
        <f>J10</f>
        <v>0.95652173913043481</v>
      </c>
    </row>
    <row r="31" spans="1:15" x14ac:dyDescent="0.2">
      <c r="N31" t="str">
        <f>A11</f>
        <v>Absolute Wonder Woman</v>
      </c>
      <c r="O31" s="104">
        <f>J11</f>
        <v>0.86956521739130432</v>
      </c>
    </row>
    <row r="32" spans="1:15" x14ac:dyDescent="0.2">
      <c r="N32" t="str">
        <f>A12</f>
        <v>Absolute Flash</v>
      </c>
      <c r="O32" s="104">
        <f>J12</f>
        <v>0.88888888888888884</v>
      </c>
    </row>
    <row r="33" spans="14:15" x14ac:dyDescent="0.2">
      <c r="N33" t="str">
        <f>A13</f>
        <v>Absolute Green Lantern</v>
      </c>
      <c r="O33" s="104">
        <f>J13</f>
        <v>0.94444444444444442</v>
      </c>
    </row>
    <row r="34" spans="14:15" x14ac:dyDescent="0.2">
      <c r="N34" t="str">
        <f>A14</f>
        <v>Absolute Martian Manhunter</v>
      </c>
      <c r="O34" s="104">
        <f>J14</f>
        <v>0.91666666666666663</v>
      </c>
    </row>
    <row r="35" spans="14:15" x14ac:dyDescent="0.2">
      <c r="N35" t="str">
        <f>A15</f>
        <v>Absolute Catwoman</v>
      </c>
      <c r="O35" s="104">
        <f>J15</f>
        <v>1</v>
      </c>
    </row>
    <row r="36" spans="14:15" x14ac:dyDescent="0.2">
      <c r="N36" t="str">
        <f>A16</f>
        <v>Absolute Green Arrow</v>
      </c>
      <c r="O36" s="104">
        <f>J16</f>
        <v>0.75</v>
      </c>
    </row>
  </sheetData>
  <conditionalFormatting sqref="J9:J16">
    <cfRule type="dataBar" priority="1">
      <dataBar>
        <cfvo type="min"/>
        <cfvo type="max"/>
        <color rgb="FF4472C4"/>
      </dataBar>
      <extLst>
        <ext xmlns:x14="http://schemas.microsoft.com/office/spreadsheetml/2009/9/main" uri="{B025F937-C7B1-47D3-B67F-A62EFF666E3E}">
          <x14:id>{8D932CA1-2730-9848-BDC0-216F216D1A37}</x14:id>
        </ext>
      </extLst>
    </cfRule>
  </conditionalFormatting>
  <pageMargins left="0.7" right="0.7" top="0.75" bottom="0.75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D932CA1-2730-9848-BDC0-216F216D1A37}">
            <x14:dataBar minLength="0" maxLength="100" direction="leftToRight" negativeBarColorSameAsPositive="1" axisPosition="none">
              <x14:cfvo type="min"/>
              <x14:cfvo type="max"/>
            </x14:dataBar>
          </x14:cfRule>
          <xm:sqref>J9:J16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D7019-6858-D54C-B666-4AD8E6F3ED7F}">
  <dimension ref="A1:O124"/>
  <sheetViews>
    <sheetView topLeftCell="B1"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33.33203125" customWidth="1"/>
    <col min="2" max="3" width="10" customWidth="1"/>
    <col min="4" max="4" width="41.6640625" customWidth="1"/>
    <col min="5" max="5" width="20" customWidth="1"/>
    <col min="6" max="7" width="15.83203125" customWidth="1"/>
    <col min="8" max="12" width="17.5" customWidth="1"/>
    <col min="13" max="13" width="21.6640625" customWidth="1"/>
    <col min="14" max="14" width="50" customWidth="1"/>
    <col min="15" max="15" width="35" customWidth="1"/>
  </cols>
  <sheetData>
    <row r="1" spans="1:15" x14ac:dyDescent="0.2">
      <c r="A1" s="79" t="s">
        <v>0</v>
      </c>
      <c r="B1" s="79" t="s">
        <v>1</v>
      </c>
      <c r="C1" s="79" t="s">
        <v>17</v>
      </c>
      <c r="D1" s="79" t="s">
        <v>2</v>
      </c>
      <c r="E1" s="79" t="s">
        <v>423</v>
      </c>
      <c r="F1" s="79" t="s">
        <v>16</v>
      </c>
      <c r="G1" s="79" t="s">
        <v>438</v>
      </c>
      <c r="H1" s="79" t="s">
        <v>439</v>
      </c>
      <c r="I1" s="79" t="s">
        <v>440</v>
      </c>
      <c r="J1" s="79" t="s">
        <v>441</v>
      </c>
      <c r="K1" s="79" t="s">
        <v>442</v>
      </c>
      <c r="L1" s="79" t="s">
        <v>443</v>
      </c>
      <c r="M1" s="114" t="s">
        <v>482</v>
      </c>
      <c r="N1" s="114" t="s">
        <v>483</v>
      </c>
      <c r="O1" s="114" t="s">
        <v>484</v>
      </c>
    </row>
    <row r="2" spans="1:15" x14ac:dyDescent="0.2">
      <c r="A2" t="s">
        <v>20</v>
      </c>
      <c r="B2" t="s">
        <v>21</v>
      </c>
      <c r="C2" s="91">
        <v>1</v>
      </c>
      <c r="D2" t="s">
        <v>22</v>
      </c>
      <c r="E2" t="str">
        <f>IF(ISNUMBER(SEARCH("Incentive",D2)),"Incentive 1:25",IF(ISNUMBER(SEARCH("Foil",D2)),"Foil Variant",IF(OR(ISNUMBER(SEARCH("Annual",A2)),ISNUMBER(SEARCH("Special",A2))),"Annual/Special",IF(ISNUMBER(SEARCH("Printing",D2)),"Later Printing",IF(ISNUMBER(SEARCH("Regular",D2)),"Regular","Variant")))))</f>
        <v>Regular</v>
      </c>
      <c r="F2" s="91">
        <v>2024</v>
      </c>
      <c r="G2" t="s">
        <v>444</v>
      </c>
      <c r="H2" s="90">
        <f>IF(F2&gt;=Assumptions!$B$13,INDEX(Assumptions!$C$5:$C$10,MATCH(E2,Assumptions!$A$5:$A$10,0)),INDEX(Assumptions!$B$5:$B$10,MATCH(E2,Assumptions!$A$5:$A$10,0)))</f>
        <v>4.99</v>
      </c>
      <c r="I2" s="90">
        <f>H2</f>
        <v>4.99</v>
      </c>
      <c r="J2" s="80">
        <f>INDEX(Assumptions!$D$5:$D$10,MATCH(E2,Assumptions!$A$5:$A$10,0))*IF(C2=1,Assumptions!$B$12,1)</f>
        <v>2.8</v>
      </c>
      <c r="K2" s="90">
        <f>IF(M2&lt;&gt;"",M2,H2*J2)</f>
        <v>30</v>
      </c>
      <c r="L2" s="90">
        <f>K2-I2</f>
        <v>25.009999999999998</v>
      </c>
      <c r="M2" s="115">
        <v>30</v>
      </c>
      <c r="N2" t="s">
        <v>485</v>
      </c>
      <c r="O2" t="s">
        <v>486</v>
      </c>
    </row>
    <row r="3" spans="1:15" x14ac:dyDescent="0.2">
      <c r="A3" t="s">
        <v>20</v>
      </c>
      <c r="B3" t="s">
        <v>28</v>
      </c>
      <c r="C3" s="91">
        <v>2</v>
      </c>
      <c r="D3" t="s">
        <v>29</v>
      </c>
      <c r="E3" t="str">
        <f>IF(ISNUMBER(SEARCH("Incentive",D3)),"Incentive 1:25",IF(ISNUMBER(SEARCH("Foil",D3)),"Foil Variant",IF(OR(ISNUMBER(SEARCH("Annual",A3)),ISNUMBER(SEARCH("Special",A3))),"Annual/Special",IF(ISNUMBER(SEARCH("Printing",D3)),"Later Printing",IF(ISNUMBER(SEARCH("Regular",D3)),"Regular","Variant")))))</f>
        <v>Variant</v>
      </c>
      <c r="F3" s="91">
        <v>2024</v>
      </c>
      <c r="G3" t="s">
        <v>444</v>
      </c>
      <c r="H3" s="90">
        <f>IF(F3&gt;=Assumptions!$B$13,INDEX(Assumptions!$C$5:$C$10,MATCH(E3,Assumptions!$A$5:$A$10,0)),INDEX(Assumptions!$B$5:$B$10,MATCH(E3,Assumptions!$A$5:$A$10,0)))</f>
        <v>4.99</v>
      </c>
      <c r="I3" s="90">
        <f>H3</f>
        <v>4.99</v>
      </c>
      <c r="J3" s="80">
        <f>INDEX(Assumptions!$D$5:$D$10,MATCH(E3,Assumptions!$A$5:$A$10,0))*IF(C3=1,Assumptions!$B$12,1)</f>
        <v>1.8</v>
      </c>
      <c r="K3" s="90">
        <f>IF(M3&lt;&gt;"",M3,H3*J3)</f>
        <v>8.9820000000000011</v>
      </c>
      <c r="L3" s="90">
        <f>K3-I3</f>
        <v>3.9920000000000009</v>
      </c>
      <c r="M3" s="115"/>
    </row>
    <row r="4" spans="1:15" x14ac:dyDescent="0.2">
      <c r="A4" t="s">
        <v>20</v>
      </c>
      <c r="B4" t="s">
        <v>32</v>
      </c>
      <c r="C4" s="91">
        <v>3</v>
      </c>
      <c r="D4" t="s">
        <v>33</v>
      </c>
      <c r="E4" t="str">
        <f>IF(ISNUMBER(SEARCH("Incentive",D4)),"Incentive 1:25",IF(ISNUMBER(SEARCH("Foil",D4)),"Foil Variant",IF(OR(ISNUMBER(SEARCH("Annual",A4)),ISNUMBER(SEARCH("Special",A4))),"Annual/Special",IF(ISNUMBER(SEARCH("Printing",D4)),"Later Printing",IF(ISNUMBER(SEARCH("Regular",D4)),"Regular","Variant")))))</f>
        <v>Variant</v>
      </c>
      <c r="F4" s="91">
        <v>2024</v>
      </c>
      <c r="G4" t="s">
        <v>444</v>
      </c>
      <c r="H4" s="90">
        <f>IF(F4&gt;=Assumptions!$B$13,INDEX(Assumptions!$C$5:$C$10,MATCH(E4,Assumptions!$A$5:$A$10,0)),INDEX(Assumptions!$B$5:$B$10,MATCH(E4,Assumptions!$A$5:$A$10,0)))</f>
        <v>4.99</v>
      </c>
      <c r="I4" s="90">
        <f>H4</f>
        <v>4.99</v>
      </c>
      <c r="J4" s="80">
        <f>INDEX(Assumptions!$D$5:$D$10,MATCH(E4,Assumptions!$A$5:$A$10,0))*IF(C4=1,Assumptions!$B$12,1)</f>
        <v>1.8</v>
      </c>
      <c r="K4" s="90">
        <f>IF(M4&lt;&gt;"",M4,H4*J4)</f>
        <v>8.9820000000000011</v>
      </c>
      <c r="L4" s="90">
        <f>K4-I4</f>
        <v>3.9920000000000009</v>
      </c>
      <c r="M4" s="115"/>
    </row>
    <row r="5" spans="1:15" x14ac:dyDescent="0.2">
      <c r="A5" t="s">
        <v>20</v>
      </c>
      <c r="B5" t="s">
        <v>36</v>
      </c>
      <c r="C5" s="91">
        <v>4</v>
      </c>
      <c r="D5" t="s">
        <v>22</v>
      </c>
      <c r="E5" t="str">
        <f>IF(ISNUMBER(SEARCH("Incentive",D5)),"Incentive 1:25",IF(ISNUMBER(SEARCH("Foil",D5)),"Foil Variant",IF(OR(ISNUMBER(SEARCH("Annual",A5)),ISNUMBER(SEARCH("Special",A5))),"Annual/Special",IF(ISNUMBER(SEARCH("Printing",D5)),"Later Printing",IF(ISNUMBER(SEARCH("Regular",D5)),"Regular","Variant")))))</f>
        <v>Regular</v>
      </c>
      <c r="F5" s="91">
        <v>2025</v>
      </c>
      <c r="G5" t="s">
        <v>444</v>
      </c>
      <c r="H5" s="90">
        <f>IF(F5&gt;=Assumptions!$B$13,INDEX(Assumptions!$C$5:$C$10,MATCH(E5,Assumptions!$A$5:$A$10,0)),INDEX(Assumptions!$B$5:$B$10,MATCH(E5,Assumptions!$A$5:$A$10,0)))</f>
        <v>4.99</v>
      </c>
      <c r="I5" s="90">
        <f>H5</f>
        <v>4.99</v>
      </c>
      <c r="J5" s="80">
        <f>INDEX(Assumptions!$D$5:$D$10,MATCH(E5,Assumptions!$A$5:$A$10,0))*IF(C5=1,Assumptions!$B$12,1)</f>
        <v>1.4</v>
      </c>
      <c r="K5" s="90">
        <f>IF(M5&lt;&gt;"",M5,H5*J5)</f>
        <v>6.9859999999999998</v>
      </c>
      <c r="L5" s="90">
        <f>K5-I5</f>
        <v>1.9959999999999996</v>
      </c>
      <c r="M5" s="115"/>
    </row>
    <row r="6" spans="1:15" x14ac:dyDescent="0.2">
      <c r="A6" t="s">
        <v>20</v>
      </c>
      <c r="B6" t="s">
        <v>38</v>
      </c>
      <c r="C6" s="91">
        <v>5</v>
      </c>
      <c r="D6" t="s">
        <v>22</v>
      </c>
      <c r="E6" t="str">
        <f>IF(ISNUMBER(SEARCH("Incentive",D6)),"Incentive 1:25",IF(ISNUMBER(SEARCH("Foil",D6)),"Foil Variant",IF(OR(ISNUMBER(SEARCH("Annual",A6)),ISNUMBER(SEARCH("Special",A6))),"Annual/Special",IF(ISNUMBER(SEARCH("Printing",D6)),"Later Printing",IF(ISNUMBER(SEARCH("Regular",D6)),"Regular","Variant")))))</f>
        <v>Regular</v>
      </c>
      <c r="F6" s="91">
        <v>2025</v>
      </c>
      <c r="G6" t="s">
        <v>444</v>
      </c>
      <c r="H6" s="90">
        <f>IF(F6&gt;=Assumptions!$B$13,INDEX(Assumptions!$C$5:$C$10,MATCH(E6,Assumptions!$A$5:$A$10,0)),INDEX(Assumptions!$B$5:$B$10,MATCH(E6,Assumptions!$A$5:$A$10,0)))</f>
        <v>4.99</v>
      </c>
      <c r="I6" s="90">
        <f>H6</f>
        <v>4.99</v>
      </c>
      <c r="J6" s="80">
        <f>INDEX(Assumptions!$D$5:$D$10,MATCH(E6,Assumptions!$A$5:$A$10,0))*IF(C6=1,Assumptions!$B$12,1)</f>
        <v>1.4</v>
      </c>
      <c r="K6" s="90">
        <f>IF(M6&lt;&gt;"",M6,H6*J6)</f>
        <v>6.9859999999999998</v>
      </c>
      <c r="L6" s="90">
        <f>K6-I6</f>
        <v>1.9959999999999996</v>
      </c>
      <c r="M6" s="115"/>
    </row>
    <row r="7" spans="1:15" x14ac:dyDescent="0.2">
      <c r="A7" t="s">
        <v>20</v>
      </c>
      <c r="B7" t="s">
        <v>39</v>
      </c>
      <c r="C7" s="91">
        <v>6</v>
      </c>
      <c r="D7" t="s">
        <v>40</v>
      </c>
      <c r="E7" t="str">
        <f>IF(ISNUMBER(SEARCH("Incentive",D7)),"Incentive 1:25",IF(ISNUMBER(SEARCH("Foil",D7)),"Foil Variant",IF(OR(ISNUMBER(SEARCH("Annual",A7)),ISNUMBER(SEARCH("Special",A7))),"Annual/Special",IF(ISNUMBER(SEARCH("Printing",D7)),"Later Printing",IF(ISNUMBER(SEARCH("Regular",D7)),"Regular","Variant")))))</f>
        <v>Variant</v>
      </c>
      <c r="F7" s="91">
        <v>2025</v>
      </c>
      <c r="G7" t="s">
        <v>444</v>
      </c>
      <c r="H7" s="90">
        <f>IF(F7&gt;=Assumptions!$B$13,INDEX(Assumptions!$C$5:$C$10,MATCH(E7,Assumptions!$A$5:$A$10,0)),INDEX(Assumptions!$B$5:$B$10,MATCH(E7,Assumptions!$A$5:$A$10,0)))</f>
        <v>4.99</v>
      </c>
      <c r="I7" s="90">
        <f>H7</f>
        <v>4.99</v>
      </c>
      <c r="J7" s="80">
        <f>INDEX(Assumptions!$D$5:$D$10,MATCH(E7,Assumptions!$A$5:$A$10,0))*IF(C7=1,Assumptions!$B$12,1)</f>
        <v>1.8</v>
      </c>
      <c r="K7" s="90">
        <f>IF(M7&lt;&gt;"",M7,H7*J7)</f>
        <v>8.9820000000000011</v>
      </c>
      <c r="L7" s="90">
        <f>K7-I7</f>
        <v>3.9920000000000009</v>
      </c>
      <c r="M7" s="115"/>
    </row>
    <row r="8" spans="1:15" x14ac:dyDescent="0.2">
      <c r="A8" t="s">
        <v>20</v>
      </c>
      <c r="B8" t="s">
        <v>42</v>
      </c>
      <c r="C8" s="91">
        <v>7</v>
      </c>
      <c r="D8" t="s">
        <v>43</v>
      </c>
      <c r="E8" t="str">
        <f>IF(ISNUMBER(SEARCH("Incentive",D8)),"Incentive 1:25",IF(ISNUMBER(SEARCH("Foil",D8)),"Foil Variant",IF(OR(ISNUMBER(SEARCH("Annual",A8)),ISNUMBER(SEARCH("Special",A8))),"Annual/Special",IF(ISNUMBER(SEARCH("Printing",D8)),"Later Printing",IF(ISNUMBER(SEARCH("Regular",D8)),"Regular","Variant")))))</f>
        <v>Variant</v>
      </c>
      <c r="F8" s="91">
        <v>2025</v>
      </c>
      <c r="G8" t="s">
        <v>444</v>
      </c>
      <c r="H8" s="90">
        <f>IF(F8&gt;=Assumptions!$B$13,INDEX(Assumptions!$C$5:$C$10,MATCH(E8,Assumptions!$A$5:$A$10,0)),INDEX(Assumptions!$B$5:$B$10,MATCH(E8,Assumptions!$A$5:$A$10,0)))</f>
        <v>4.99</v>
      </c>
      <c r="I8" s="90">
        <f>H8</f>
        <v>4.99</v>
      </c>
      <c r="J8" s="80">
        <f>INDEX(Assumptions!$D$5:$D$10,MATCH(E8,Assumptions!$A$5:$A$10,0))*IF(C8=1,Assumptions!$B$12,1)</f>
        <v>1.8</v>
      </c>
      <c r="K8" s="90">
        <f>IF(M8&lt;&gt;"",M8,H8*J8)</f>
        <v>8.9820000000000011</v>
      </c>
      <c r="L8" s="90">
        <f>K8-I8</f>
        <v>3.9920000000000009</v>
      </c>
      <c r="M8" s="115"/>
    </row>
    <row r="9" spans="1:15" x14ac:dyDescent="0.2">
      <c r="A9" t="s">
        <v>20</v>
      </c>
      <c r="B9" t="s">
        <v>47</v>
      </c>
      <c r="C9" s="91">
        <v>9</v>
      </c>
      <c r="D9" t="s">
        <v>22</v>
      </c>
      <c r="E9" t="str">
        <f>IF(ISNUMBER(SEARCH("Incentive",D9)),"Incentive 1:25",IF(ISNUMBER(SEARCH("Foil",D9)),"Foil Variant",IF(OR(ISNUMBER(SEARCH("Annual",A9)),ISNUMBER(SEARCH("Special",A9))),"Annual/Special",IF(ISNUMBER(SEARCH("Printing",D9)),"Later Printing",IF(ISNUMBER(SEARCH("Regular",D9)),"Regular","Variant")))))</f>
        <v>Regular</v>
      </c>
      <c r="F9" s="91">
        <v>2025</v>
      </c>
      <c r="G9" t="s">
        <v>444</v>
      </c>
      <c r="H9" s="90">
        <f>IF(F9&gt;=Assumptions!$B$13,INDEX(Assumptions!$C$5:$C$10,MATCH(E9,Assumptions!$A$5:$A$10,0)),INDEX(Assumptions!$B$5:$B$10,MATCH(E9,Assumptions!$A$5:$A$10,0)))</f>
        <v>4.99</v>
      </c>
      <c r="I9" s="90">
        <f>H9</f>
        <v>4.99</v>
      </c>
      <c r="J9" s="80">
        <f>INDEX(Assumptions!$D$5:$D$10,MATCH(E9,Assumptions!$A$5:$A$10,0))*IF(C9=1,Assumptions!$B$12,1)</f>
        <v>1.4</v>
      </c>
      <c r="K9" s="90">
        <f>IF(M9&lt;&gt;"",M9,H9*J9)</f>
        <v>6.9859999999999998</v>
      </c>
      <c r="L9" s="90">
        <f>K9-I9</f>
        <v>1.9959999999999996</v>
      </c>
      <c r="M9" s="115"/>
    </row>
    <row r="10" spans="1:15" x14ac:dyDescent="0.2">
      <c r="A10" t="s">
        <v>20</v>
      </c>
      <c r="B10" t="s">
        <v>49</v>
      </c>
      <c r="C10" s="91">
        <v>9</v>
      </c>
      <c r="D10" t="s">
        <v>50</v>
      </c>
      <c r="E10" t="str">
        <f>IF(ISNUMBER(SEARCH("Incentive",D10)),"Incentive 1:25",IF(ISNUMBER(SEARCH("Foil",D10)),"Foil Variant",IF(OR(ISNUMBER(SEARCH("Annual",A10)),ISNUMBER(SEARCH("Special",A10))),"Annual/Special",IF(ISNUMBER(SEARCH("Printing",D10)),"Later Printing",IF(ISNUMBER(SEARCH("Regular",D10)),"Regular","Variant")))))</f>
        <v>Variant</v>
      </c>
      <c r="F10" s="91">
        <v>2025</v>
      </c>
      <c r="G10" t="s">
        <v>444</v>
      </c>
      <c r="H10" s="90">
        <f>IF(F10&gt;=Assumptions!$B$13,INDEX(Assumptions!$C$5:$C$10,MATCH(E10,Assumptions!$A$5:$A$10,0)),INDEX(Assumptions!$B$5:$B$10,MATCH(E10,Assumptions!$A$5:$A$10,0)))</f>
        <v>4.99</v>
      </c>
      <c r="I10" s="90">
        <f>H10</f>
        <v>4.99</v>
      </c>
      <c r="J10" s="80">
        <f>INDEX(Assumptions!$D$5:$D$10,MATCH(E10,Assumptions!$A$5:$A$10,0))*IF(C10=1,Assumptions!$B$12,1)</f>
        <v>1.8</v>
      </c>
      <c r="K10" s="90">
        <f>IF(M10&lt;&gt;"",M10,H10*J10)</f>
        <v>8.9820000000000011</v>
      </c>
      <c r="L10" s="90">
        <f>K10-I10</f>
        <v>3.9920000000000009</v>
      </c>
      <c r="M10" s="115"/>
    </row>
    <row r="11" spans="1:15" x14ac:dyDescent="0.2">
      <c r="A11" t="s">
        <v>20</v>
      </c>
      <c r="B11" t="s">
        <v>52</v>
      </c>
      <c r="C11" s="91">
        <v>12</v>
      </c>
      <c r="D11" t="s">
        <v>53</v>
      </c>
      <c r="E11" t="str">
        <f>IF(ISNUMBER(SEARCH("Incentive",D11)),"Incentive 1:25",IF(ISNUMBER(SEARCH("Foil",D11)),"Foil Variant",IF(OR(ISNUMBER(SEARCH("Annual",A11)),ISNUMBER(SEARCH("Special",A11))),"Annual/Special",IF(ISNUMBER(SEARCH("Printing",D11)),"Later Printing",IF(ISNUMBER(SEARCH("Regular",D11)),"Regular","Variant")))))</f>
        <v>Variant</v>
      </c>
      <c r="F11" s="91">
        <v>2025</v>
      </c>
      <c r="G11" t="s">
        <v>444</v>
      </c>
      <c r="H11" s="90">
        <f>IF(F11&gt;=Assumptions!$B$13,INDEX(Assumptions!$C$5:$C$10,MATCH(E11,Assumptions!$A$5:$A$10,0)),INDEX(Assumptions!$B$5:$B$10,MATCH(E11,Assumptions!$A$5:$A$10,0)))</f>
        <v>4.99</v>
      </c>
      <c r="I11" s="90">
        <f>H11</f>
        <v>4.99</v>
      </c>
      <c r="J11" s="80">
        <f>INDEX(Assumptions!$D$5:$D$10,MATCH(E11,Assumptions!$A$5:$A$10,0))*IF(C11=1,Assumptions!$B$12,1)</f>
        <v>1.8</v>
      </c>
      <c r="K11" s="90">
        <f>IF(M11&lt;&gt;"",M11,H11*J11)</f>
        <v>8.9820000000000011</v>
      </c>
      <c r="L11" s="90">
        <f>K11-I11</f>
        <v>3.9920000000000009</v>
      </c>
      <c r="M11" s="115"/>
    </row>
    <row r="12" spans="1:15" x14ac:dyDescent="0.2">
      <c r="A12" t="s">
        <v>20</v>
      </c>
      <c r="B12" t="s">
        <v>54</v>
      </c>
      <c r="C12" s="91">
        <v>13</v>
      </c>
      <c r="D12" t="s">
        <v>22</v>
      </c>
      <c r="E12" t="str">
        <f>IF(ISNUMBER(SEARCH("Incentive",D12)),"Incentive 1:25",IF(ISNUMBER(SEARCH("Foil",D12)),"Foil Variant",IF(OR(ISNUMBER(SEARCH("Annual",A12)),ISNUMBER(SEARCH("Special",A12))),"Annual/Special",IF(ISNUMBER(SEARCH("Printing",D12)),"Later Printing",IF(ISNUMBER(SEARCH("Regular",D12)),"Regular","Variant")))))</f>
        <v>Regular</v>
      </c>
      <c r="F12" s="91">
        <v>2025</v>
      </c>
      <c r="G12" t="s">
        <v>444</v>
      </c>
      <c r="H12" s="90">
        <f>IF(F12&gt;=Assumptions!$B$13,INDEX(Assumptions!$C$5:$C$10,MATCH(E12,Assumptions!$A$5:$A$10,0)),INDEX(Assumptions!$B$5:$B$10,MATCH(E12,Assumptions!$A$5:$A$10,0)))</f>
        <v>4.99</v>
      </c>
      <c r="I12" s="90">
        <f>H12</f>
        <v>4.99</v>
      </c>
      <c r="J12" s="80">
        <f>INDEX(Assumptions!$D$5:$D$10,MATCH(E12,Assumptions!$A$5:$A$10,0))*IF(C12=1,Assumptions!$B$12,1)</f>
        <v>1.4</v>
      </c>
      <c r="K12" s="90">
        <f>IF(M12&lt;&gt;"",M12,H12*J12)</f>
        <v>6.9859999999999998</v>
      </c>
      <c r="L12" s="90">
        <f>K12-I12</f>
        <v>1.9959999999999996</v>
      </c>
      <c r="M12" s="115"/>
    </row>
    <row r="13" spans="1:15" x14ac:dyDescent="0.2">
      <c r="A13" t="s">
        <v>20</v>
      </c>
      <c r="B13" t="s">
        <v>56</v>
      </c>
      <c r="C13" s="91">
        <v>14</v>
      </c>
      <c r="D13" t="s">
        <v>57</v>
      </c>
      <c r="E13" t="str">
        <f>IF(ISNUMBER(SEARCH("Incentive",D13)),"Incentive 1:25",IF(ISNUMBER(SEARCH("Foil",D13)),"Foil Variant",IF(OR(ISNUMBER(SEARCH("Annual",A13)),ISNUMBER(SEARCH("Special",A13))),"Annual/Special",IF(ISNUMBER(SEARCH("Printing",D13)),"Later Printing",IF(ISNUMBER(SEARCH("Regular",D13)),"Regular","Variant")))))</f>
        <v>Later Printing</v>
      </c>
      <c r="F13" s="91">
        <v>2026</v>
      </c>
      <c r="G13" t="s">
        <v>444</v>
      </c>
      <c r="H13" s="90">
        <f>IF(F13&gt;=Assumptions!$B$13,INDEX(Assumptions!$C$5:$C$10,MATCH(E13,Assumptions!$A$5:$A$10,0)),INDEX(Assumptions!$B$5:$B$10,MATCH(E13,Assumptions!$A$5:$A$10,0)))</f>
        <v>5.99</v>
      </c>
      <c r="I13" s="90">
        <f>H13</f>
        <v>5.99</v>
      </c>
      <c r="J13" s="80">
        <f>INDEX(Assumptions!$D$5:$D$10,MATCH(E13,Assumptions!$A$5:$A$10,0))*IF(C13=1,Assumptions!$B$12,1)</f>
        <v>1.2</v>
      </c>
      <c r="K13" s="90">
        <f>IF(M13&lt;&gt;"",M13,H13*J13)</f>
        <v>7.1879999999999997</v>
      </c>
      <c r="L13" s="90">
        <f>K13-I13</f>
        <v>1.1979999999999995</v>
      </c>
      <c r="M13" s="115"/>
    </row>
    <row r="14" spans="1:15" x14ac:dyDescent="0.2">
      <c r="A14" t="s">
        <v>20</v>
      </c>
      <c r="B14" t="s">
        <v>60</v>
      </c>
      <c r="C14" s="91">
        <v>16</v>
      </c>
      <c r="D14" t="s">
        <v>61</v>
      </c>
      <c r="E14" t="str">
        <f>IF(ISNUMBER(SEARCH("Incentive",D14)),"Incentive 1:25",IF(ISNUMBER(SEARCH("Foil",D14)),"Foil Variant",IF(OR(ISNUMBER(SEARCH("Annual",A14)),ISNUMBER(SEARCH("Special",A14))),"Annual/Special",IF(ISNUMBER(SEARCH("Printing",D14)),"Later Printing",IF(ISNUMBER(SEARCH("Regular",D14)),"Regular","Variant")))))</f>
        <v>Foil Variant</v>
      </c>
      <c r="F14" s="91">
        <v>2026</v>
      </c>
      <c r="G14" t="s">
        <v>444</v>
      </c>
      <c r="H14" s="90">
        <f>IF(F14&gt;=Assumptions!$B$13,INDEX(Assumptions!$C$5:$C$10,MATCH(E14,Assumptions!$A$5:$A$10,0)),INDEX(Assumptions!$B$5:$B$10,MATCH(E14,Assumptions!$A$5:$A$10,0)))</f>
        <v>7.99</v>
      </c>
      <c r="I14" s="90">
        <f>H14</f>
        <v>7.99</v>
      </c>
      <c r="J14" s="80">
        <f>INDEX(Assumptions!$D$5:$D$10,MATCH(E14,Assumptions!$A$5:$A$10,0))*IF(C14=1,Assumptions!$B$12,1)</f>
        <v>2.5</v>
      </c>
      <c r="K14" s="90">
        <f>IF(M14&lt;&gt;"",M14,H14*J14)</f>
        <v>19.975000000000001</v>
      </c>
      <c r="L14" s="90">
        <f>K14-I14</f>
        <v>11.985000000000001</v>
      </c>
      <c r="M14" s="115"/>
    </row>
    <row r="15" spans="1:15" x14ac:dyDescent="0.2">
      <c r="A15" t="s">
        <v>20</v>
      </c>
      <c r="B15" t="s">
        <v>64</v>
      </c>
      <c r="C15" s="91">
        <v>17</v>
      </c>
      <c r="D15" t="s">
        <v>65</v>
      </c>
      <c r="E15" t="str">
        <f>IF(ISNUMBER(SEARCH("Incentive",D15)),"Incentive 1:25",IF(ISNUMBER(SEARCH("Foil",D15)),"Foil Variant",IF(OR(ISNUMBER(SEARCH("Annual",A15)),ISNUMBER(SEARCH("Special",A15))),"Annual/Special",IF(ISNUMBER(SEARCH("Printing",D15)),"Later Printing",IF(ISNUMBER(SEARCH("Regular",D15)),"Regular","Variant")))))</f>
        <v>Variant</v>
      </c>
      <c r="F15" s="91">
        <v>2026</v>
      </c>
      <c r="G15" t="s">
        <v>444</v>
      </c>
      <c r="H15" s="90">
        <f>IF(F15&gt;=Assumptions!$B$13,INDEX(Assumptions!$C$5:$C$10,MATCH(E15,Assumptions!$A$5:$A$10,0)),INDEX(Assumptions!$B$5:$B$10,MATCH(E15,Assumptions!$A$5:$A$10,0)))</f>
        <v>5.99</v>
      </c>
      <c r="I15" s="90">
        <f>H15</f>
        <v>5.99</v>
      </c>
      <c r="J15" s="80">
        <f>INDEX(Assumptions!$D$5:$D$10,MATCH(E15,Assumptions!$A$5:$A$10,0))*IF(C15=1,Assumptions!$B$12,1)</f>
        <v>1.8</v>
      </c>
      <c r="K15" s="90">
        <f>IF(M15&lt;&gt;"",M15,H15*J15)</f>
        <v>10.782</v>
      </c>
      <c r="L15" s="90">
        <f>K15-I15</f>
        <v>4.7919999999999998</v>
      </c>
      <c r="M15" s="115"/>
    </row>
    <row r="16" spans="1:15" x14ac:dyDescent="0.2">
      <c r="A16" t="s">
        <v>20</v>
      </c>
      <c r="B16" t="s">
        <v>67</v>
      </c>
      <c r="C16" s="91">
        <v>18</v>
      </c>
      <c r="D16" t="s">
        <v>22</v>
      </c>
      <c r="E16" t="str">
        <f>IF(ISNUMBER(SEARCH("Incentive",D16)),"Incentive 1:25",IF(ISNUMBER(SEARCH("Foil",D16)),"Foil Variant",IF(OR(ISNUMBER(SEARCH("Annual",A16)),ISNUMBER(SEARCH("Special",A16))),"Annual/Special",IF(ISNUMBER(SEARCH("Printing",D16)),"Later Printing",IF(ISNUMBER(SEARCH("Regular",D16)),"Regular","Variant")))))</f>
        <v>Regular</v>
      </c>
      <c r="F16" s="91">
        <v>2026</v>
      </c>
      <c r="G16" t="s">
        <v>444</v>
      </c>
      <c r="H16" s="90">
        <f>IF(F16&gt;=Assumptions!$B$13,INDEX(Assumptions!$C$5:$C$10,MATCH(E16,Assumptions!$A$5:$A$10,0)),INDEX(Assumptions!$B$5:$B$10,MATCH(E16,Assumptions!$A$5:$A$10,0)))</f>
        <v>5.99</v>
      </c>
      <c r="I16" s="90">
        <f>H16</f>
        <v>5.99</v>
      </c>
      <c r="J16" s="80">
        <f>INDEX(Assumptions!$D$5:$D$10,MATCH(E16,Assumptions!$A$5:$A$10,0))*IF(C16=1,Assumptions!$B$12,1)</f>
        <v>1.4</v>
      </c>
      <c r="K16" s="90">
        <f>IF(M16&lt;&gt;"",M16,H16*J16)</f>
        <v>8.3859999999999992</v>
      </c>
      <c r="L16" s="90">
        <f>K16-I16</f>
        <v>2.395999999999999</v>
      </c>
      <c r="M16" s="115"/>
    </row>
    <row r="17" spans="1:15" x14ac:dyDescent="0.2">
      <c r="A17" t="s">
        <v>68</v>
      </c>
      <c r="B17" t="s">
        <v>69</v>
      </c>
      <c r="C17" s="91">
        <v>1</v>
      </c>
      <c r="D17" t="s">
        <v>70</v>
      </c>
      <c r="E17" t="str">
        <f>IF(ISNUMBER(SEARCH("Incentive",D17)),"Incentive 1:25",IF(ISNUMBER(SEARCH("Foil",D17)),"Foil Variant",IF(OR(ISNUMBER(SEARCH("Annual",A17)),ISNUMBER(SEARCH("Special",A17))),"Annual/Special",IF(ISNUMBER(SEARCH("Printing",D17)),"Later Printing",IF(ISNUMBER(SEARCH("Regular",D17)),"Regular","Variant")))))</f>
        <v>Annual/Special</v>
      </c>
      <c r="F17" s="91">
        <v>2026</v>
      </c>
      <c r="G17" t="s">
        <v>444</v>
      </c>
      <c r="H17" s="90">
        <f>IF(F17&gt;=Assumptions!$B$13,INDEX(Assumptions!$C$5:$C$10,MATCH(E17,Assumptions!$A$5:$A$10,0)),INDEX(Assumptions!$B$5:$B$10,MATCH(E17,Assumptions!$A$5:$A$10,0)))</f>
        <v>6.99</v>
      </c>
      <c r="I17" s="90">
        <f>H17</f>
        <v>6.99</v>
      </c>
      <c r="J17" s="80">
        <f>INDEX(Assumptions!$D$5:$D$10,MATCH(E17,Assumptions!$A$5:$A$10,0))*IF(C17=1,Assumptions!$B$12,1)</f>
        <v>3</v>
      </c>
      <c r="K17" s="90">
        <f>IF(M17&lt;&gt;"",M17,H17*J17)</f>
        <v>20.97</v>
      </c>
      <c r="L17" s="90">
        <f>K17-I17</f>
        <v>13.979999999999999</v>
      </c>
      <c r="M17" s="115"/>
    </row>
    <row r="18" spans="1:15" x14ac:dyDescent="0.2">
      <c r="A18" t="s">
        <v>72</v>
      </c>
      <c r="B18" t="s">
        <v>73</v>
      </c>
      <c r="C18" s="91">
        <v>1</v>
      </c>
      <c r="D18" t="s">
        <v>74</v>
      </c>
      <c r="E18" t="str">
        <f>IF(ISNUMBER(SEARCH("Incentive",D18)),"Incentive 1:25",IF(ISNUMBER(SEARCH("Foil",D18)),"Foil Variant",IF(OR(ISNUMBER(SEARCH("Annual",A18)),ISNUMBER(SEARCH("Special",A18))),"Annual/Special",IF(ISNUMBER(SEARCH("Printing",D18)),"Later Printing",IF(ISNUMBER(SEARCH("Regular",D18)),"Regular","Variant")))))</f>
        <v>Annual/Special</v>
      </c>
      <c r="F18" s="91">
        <v>2026</v>
      </c>
      <c r="G18" t="s">
        <v>444</v>
      </c>
      <c r="H18" s="90">
        <f>IF(F18&gt;=Assumptions!$B$13,INDEX(Assumptions!$C$5:$C$10,MATCH(E18,Assumptions!$A$5:$A$10,0)),INDEX(Assumptions!$B$5:$B$10,MATCH(E18,Assumptions!$A$5:$A$10,0)))</f>
        <v>6.99</v>
      </c>
      <c r="I18" s="90">
        <f>H18</f>
        <v>6.99</v>
      </c>
      <c r="J18" s="80">
        <f>INDEX(Assumptions!$D$5:$D$10,MATCH(E18,Assumptions!$A$5:$A$10,0))*IF(C18=1,Assumptions!$B$12,1)</f>
        <v>3</v>
      </c>
      <c r="K18" s="90">
        <f>IF(M18&lt;&gt;"",M18,H18*J18)</f>
        <v>20.97</v>
      </c>
      <c r="L18" s="90">
        <f>K18-I18</f>
        <v>13.979999999999999</v>
      </c>
      <c r="M18" s="115"/>
    </row>
    <row r="19" spans="1:15" x14ac:dyDescent="0.2">
      <c r="A19" t="s">
        <v>76</v>
      </c>
      <c r="B19" t="s">
        <v>77</v>
      </c>
      <c r="C19" s="91">
        <v>1</v>
      </c>
      <c r="D19" t="s">
        <v>78</v>
      </c>
      <c r="E19" t="str">
        <f>IF(ISNUMBER(SEARCH("Incentive",D19)),"Incentive 1:25",IF(ISNUMBER(SEARCH("Foil",D19)),"Foil Variant",IF(OR(ISNUMBER(SEARCH("Annual",A19)),ISNUMBER(SEARCH("Special",A19))),"Annual/Special",IF(ISNUMBER(SEARCH("Printing",D19)),"Later Printing",IF(ISNUMBER(SEARCH("Regular",D19)),"Regular","Variant")))))</f>
        <v>Variant</v>
      </c>
      <c r="F19" s="91">
        <v>2026</v>
      </c>
      <c r="G19" t="s">
        <v>444</v>
      </c>
      <c r="H19" s="90">
        <f>IF(F19&gt;=Assumptions!$B$13,INDEX(Assumptions!$C$5:$C$10,MATCH(E19,Assumptions!$A$5:$A$10,0)),INDEX(Assumptions!$B$5:$B$10,MATCH(E19,Assumptions!$A$5:$A$10,0)))</f>
        <v>5.99</v>
      </c>
      <c r="I19" s="90">
        <f>H19</f>
        <v>5.99</v>
      </c>
      <c r="J19" s="80">
        <f>INDEX(Assumptions!$D$5:$D$10,MATCH(E19,Assumptions!$A$5:$A$10,0))*IF(C19=1,Assumptions!$B$12,1)</f>
        <v>3.6</v>
      </c>
      <c r="K19" s="90">
        <f>IF(M19&lt;&gt;"",M19,H19*J19)</f>
        <v>12</v>
      </c>
      <c r="L19" s="90">
        <f>K19-I19</f>
        <v>6.01</v>
      </c>
      <c r="M19" s="115">
        <v>12</v>
      </c>
      <c r="N19" t="s">
        <v>487</v>
      </c>
      <c r="O19" t="s">
        <v>486</v>
      </c>
    </row>
    <row r="20" spans="1:15" x14ac:dyDescent="0.2">
      <c r="A20" t="s">
        <v>76</v>
      </c>
      <c r="B20" t="s">
        <v>82</v>
      </c>
      <c r="C20" s="91">
        <v>2</v>
      </c>
      <c r="D20" t="s">
        <v>83</v>
      </c>
      <c r="E20" t="str">
        <f>IF(ISNUMBER(SEARCH("Incentive",D20)),"Incentive 1:25",IF(ISNUMBER(SEARCH("Foil",D20)),"Foil Variant",IF(OR(ISNUMBER(SEARCH("Annual",A20)),ISNUMBER(SEARCH("Special",A20))),"Annual/Special",IF(ISNUMBER(SEARCH("Printing",D20)),"Later Printing",IF(ISNUMBER(SEARCH("Regular",D20)),"Regular","Variant")))))</f>
        <v>Variant</v>
      </c>
      <c r="F20" s="91">
        <v>2026</v>
      </c>
      <c r="G20" t="s">
        <v>444</v>
      </c>
      <c r="H20" s="90">
        <f>IF(F20&gt;=Assumptions!$B$13,INDEX(Assumptions!$C$5:$C$10,MATCH(E20,Assumptions!$A$5:$A$10,0)),INDEX(Assumptions!$B$5:$B$10,MATCH(E20,Assumptions!$A$5:$A$10,0)))</f>
        <v>5.99</v>
      </c>
      <c r="I20" s="90">
        <f>H20</f>
        <v>5.99</v>
      </c>
      <c r="J20" s="80">
        <f>INDEX(Assumptions!$D$5:$D$10,MATCH(E20,Assumptions!$A$5:$A$10,0))*IF(C20=1,Assumptions!$B$12,1)</f>
        <v>1.8</v>
      </c>
      <c r="K20" s="90">
        <f>IF(M20&lt;&gt;"",M20,H20*J20)</f>
        <v>10.782</v>
      </c>
      <c r="L20" s="90">
        <f>K20-I20</f>
        <v>4.7919999999999998</v>
      </c>
      <c r="M20" s="115"/>
    </row>
    <row r="21" spans="1:15" x14ac:dyDescent="0.2">
      <c r="A21" t="s">
        <v>76</v>
      </c>
      <c r="B21" t="s">
        <v>87</v>
      </c>
      <c r="C21" s="91">
        <v>3</v>
      </c>
      <c r="D21" t="s">
        <v>88</v>
      </c>
      <c r="E21" t="str">
        <f>IF(ISNUMBER(SEARCH("Incentive",D21)),"Incentive 1:25",IF(ISNUMBER(SEARCH("Foil",D21)),"Foil Variant",IF(OR(ISNUMBER(SEARCH("Annual",A21)),ISNUMBER(SEARCH("Special",A21))),"Annual/Special",IF(ISNUMBER(SEARCH("Printing",D21)),"Later Printing",IF(ISNUMBER(SEARCH("Regular",D21)),"Regular","Variant")))))</f>
        <v>Regular</v>
      </c>
      <c r="F21" s="91">
        <v>2026</v>
      </c>
      <c r="G21" t="s">
        <v>444</v>
      </c>
      <c r="H21" s="90">
        <f>IF(F21&gt;=Assumptions!$B$13,INDEX(Assumptions!$C$5:$C$10,MATCH(E21,Assumptions!$A$5:$A$10,0)),INDEX(Assumptions!$B$5:$B$10,MATCH(E21,Assumptions!$A$5:$A$10,0)))</f>
        <v>5.99</v>
      </c>
      <c r="I21" s="90">
        <f>H21</f>
        <v>5.99</v>
      </c>
      <c r="J21" s="80">
        <f>INDEX(Assumptions!$D$5:$D$10,MATCH(E21,Assumptions!$A$5:$A$10,0))*IF(C21=1,Assumptions!$B$12,1)</f>
        <v>1.4</v>
      </c>
      <c r="K21" s="90">
        <f>IF(M21&lt;&gt;"",M21,H21*J21)</f>
        <v>8.3859999999999992</v>
      </c>
      <c r="L21" s="90">
        <f>K21-I21</f>
        <v>2.395999999999999</v>
      </c>
      <c r="M21" s="115"/>
    </row>
    <row r="22" spans="1:15" x14ac:dyDescent="0.2">
      <c r="A22" t="s">
        <v>91</v>
      </c>
      <c r="B22" t="s">
        <v>21</v>
      </c>
      <c r="C22" s="91">
        <v>1</v>
      </c>
      <c r="D22" t="s">
        <v>92</v>
      </c>
      <c r="E22" t="str">
        <f>IF(ISNUMBER(SEARCH("Incentive",D22)),"Incentive 1:25",IF(ISNUMBER(SEARCH("Foil",D22)),"Foil Variant",IF(OR(ISNUMBER(SEARCH("Annual",A22)),ISNUMBER(SEARCH("Special",A22))),"Annual/Special",IF(ISNUMBER(SEARCH("Printing",D22)),"Later Printing",IF(ISNUMBER(SEARCH("Regular",D22)),"Regular","Variant")))))</f>
        <v>Regular</v>
      </c>
      <c r="F22" s="91">
        <v>2025</v>
      </c>
      <c r="G22" t="s">
        <v>444</v>
      </c>
      <c r="H22" s="90">
        <f>IF(F22&gt;=Assumptions!$B$13,INDEX(Assumptions!$C$5:$C$10,MATCH(E22,Assumptions!$A$5:$A$10,0)),INDEX(Assumptions!$B$5:$B$10,MATCH(E22,Assumptions!$A$5:$A$10,0)))</f>
        <v>4.99</v>
      </c>
      <c r="I22" s="90">
        <f>H22</f>
        <v>4.99</v>
      </c>
      <c r="J22" s="80">
        <f>INDEX(Assumptions!$D$5:$D$10,MATCH(E22,Assumptions!$A$5:$A$10,0))*IF(C22=1,Assumptions!$B$12,1)</f>
        <v>2.8</v>
      </c>
      <c r="K22" s="90">
        <f>IF(M22&lt;&gt;"",M22,H22*J22)</f>
        <v>10</v>
      </c>
      <c r="L22" s="90">
        <f>K22-I22</f>
        <v>5.01</v>
      </c>
      <c r="M22" s="115">
        <v>10</v>
      </c>
      <c r="N22" t="s">
        <v>488</v>
      </c>
      <c r="O22" t="s">
        <v>486</v>
      </c>
    </row>
    <row r="23" spans="1:15" x14ac:dyDescent="0.2">
      <c r="A23" t="s">
        <v>94</v>
      </c>
      <c r="B23" t="s">
        <v>69</v>
      </c>
      <c r="C23" s="91">
        <v>1</v>
      </c>
      <c r="D23" t="s">
        <v>95</v>
      </c>
      <c r="E23" t="str">
        <f>IF(ISNUMBER(SEARCH("Incentive",D23)),"Incentive 1:25",IF(ISNUMBER(SEARCH("Foil",D23)),"Foil Variant",IF(OR(ISNUMBER(SEARCH("Annual",A23)),ISNUMBER(SEARCH("Special",A23))),"Annual/Special",IF(ISNUMBER(SEARCH("Printing",D23)),"Later Printing",IF(ISNUMBER(SEARCH("Regular",D23)),"Regular","Variant")))))</f>
        <v>Foil Variant</v>
      </c>
      <c r="F23" s="91">
        <v>2025</v>
      </c>
      <c r="G23" t="s">
        <v>444</v>
      </c>
      <c r="H23" s="90">
        <f>IF(F23&gt;=Assumptions!$B$13,INDEX(Assumptions!$C$5:$C$10,MATCH(E23,Assumptions!$A$5:$A$10,0)),INDEX(Assumptions!$B$5:$B$10,MATCH(E23,Assumptions!$A$5:$A$10,0)))</f>
        <v>6.99</v>
      </c>
      <c r="I23" s="90">
        <f>H23</f>
        <v>6.99</v>
      </c>
      <c r="J23" s="80">
        <f>INDEX(Assumptions!$D$5:$D$10,MATCH(E23,Assumptions!$A$5:$A$10,0))*IF(C23=1,Assumptions!$B$12,1)</f>
        <v>5</v>
      </c>
      <c r="K23" s="90">
        <f>IF(M23&lt;&gt;"",M23,H23*J23)</f>
        <v>30</v>
      </c>
      <c r="L23" s="90">
        <f>K23-I23</f>
        <v>23.009999999999998</v>
      </c>
      <c r="M23" s="115">
        <v>30</v>
      </c>
      <c r="N23" t="s">
        <v>489</v>
      </c>
      <c r="O23" t="s">
        <v>486</v>
      </c>
    </row>
    <row r="24" spans="1:15" x14ac:dyDescent="0.2">
      <c r="A24" t="s">
        <v>94</v>
      </c>
      <c r="B24" t="s">
        <v>97</v>
      </c>
      <c r="C24" s="91">
        <v>2</v>
      </c>
      <c r="D24" t="s">
        <v>65</v>
      </c>
      <c r="E24" t="str">
        <f>IF(ISNUMBER(SEARCH("Incentive",D24)),"Incentive 1:25",IF(ISNUMBER(SEARCH("Foil",D24)),"Foil Variant",IF(OR(ISNUMBER(SEARCH("Annual",A24)),ISNUMBER(SEARCH("Special",A24))),"Annual/Special",IF(ISNUMBER(SEARCH("Printing",D24)),"Later Printing",IF(ISNUMBER(SEARCH("Regular",D24)),"Regular","Variant")))))</f>
        <v>Variant</v>
      </c>
      <c r="F24" s="91">
        <v>2025</v>
      </c>
      <c r="G24" t="s">
        <v>444</v>
      </c>
      <c r="H24" s="90">
        <f>IF(F24&gt;=Assumptions!$B$13,INDEX(Assumptions!$C$5:$C$10,MATCH(E24,Assumptions!$A$5:$A$10,0)),INDEX(Assumptions!$B$5:$B$10,MATCH(E24,Assumptions!$A$5:$A$10,0)))</f>
        <v>4.99</v>
      </c>
      <c r="I24" s="90">
        <f>H24</f>
        <v>4.99</v>
      </c>
      <c r="J24" s="80">
        <f>INDEX(Assumptions!$D$5:$D$10,MATCH(E24,Assumptions!$A$5:$A$10,0))*IF(C24=1,Assumptions!$B$12,1)</f>
        <v>1.8</v>
      </c>
      <c r="K24" s="90">
        <f>IF(M24&lt;&gt;"",M24,H24*J24)</f>
        <v>8.9820000000000011</v>
      </c>
      <c r="L24" s="90">
        <f>K24-I24</f>
        <v>3.9920000000000009</v>
      </c>
      <c r="M24" s="115"/>
    </row>
    <row r="25" spans="1:15" x14ac:dyDescent="0.2">
      <c r="A25" t="s">
        <v>94</v>
      </c>
      <c r="B25" t="s">
        <v>99</v>
      </c>
      <c r="C25" s="91">
        <v>3</v>
      </c>
      <c r="D25" t="s">
        <v>100</v>
      </c>
      <c r="E25" t="str">
        <f>IF(ISNUMBER(SEARCH("Incentive",D25)),"Incentive 1:25",IF(ISNUMBER(SEARCH("Foil",D25)),"Foil Variant",IF(OR(ISNUMBER(SEARCH("Annual",A25)),ISNUMBER(SEARCH("Special",A25))),"Annual/Special",IF(ISNUMBER(SEARCH("Printing",D25)),"Later Printing",IF(ISNUMBER(SEARCH("Regular",D25)),"Regular","Variant")))))</f>
        <v>Later Printing</v>
      </c>
      <c r="F25" s="91">
        <v>2025</v>
      </c>
      <c r="G25" t="s">
        <v>444</v>
      </c>
      <c r="H25" s="90">
        <f>IF(F25&gt;=Assumptions!$B$13,INDEX(Assumptions!$C$5:$C$10,MATCH(E25,Assumptions!$A$5:$A$10,0)),INDEX(Assumptions!$B$5:$B$10,MATCH(E25,Assumptions!$A$5:$A$10,0)))</f>
        <v>4.99</v>
      </c>
      <c r="I25" s="90">
        <f>H25</f>
        <v>4.99</v>
      </c>
      <c r="J25" s="80">
        <f>INDEX(Assumptions!$D$5:$D$10,MATCH(E25,Assumptions!$A$5:$A$10,0))*IF(C25=1,Assumptions!$B$12,1)</f>
        <v>1.2</v>
      </c>
      <c r="K25" s="90">
        <f>IF(M25&lt;&gt;"",M25,H25*J25)</f>
        <v>5.9880000000000004</v>
      </c>
      <c r="L25" s="90">
        <f>K25-I25</f>
        <v>0.99800000000000022</v>
      </c>
      <c r="M25" s="115"/>
    </row>
    <row r="26" spans="1:15" x14ac:dyDescent="0.2">
      <c r="A26" t="s">
        <v>94</v>
      </c>
      <c r="B26" t="s">
        <v>101</v>
      </c>
      <c r="C26" s="91">
        <v>4</v>
      </c>
      <c r="D26" t="s">
        <v>100</v>
      </c>
      <c r="E26" t="str">
        <f>IF(ISNUMBER(SEARCH("Incentive",D26)),"Incentive 1:25",IF(ISNUMBER(SEARCH("Foil",D26)),"Foil Variant",IF(OR(ISNUMBER(SEARCH("Annual",A26)),ISNUMBER(SEARCH("Special",A26))),"Annual/Special",IF(ISNUMBER(SEARCH("Printing",D26)),"Later Printing",IF(ISNUMBER(SEARCH("Regular",D26)),"Regular","Variant")))))</f>
        <v>Later Printing</v>
      </c>
      <c r="F26" s="91">
        <v>2025</v>
      </c>
      <c r="G26" t="s">
        <v>444</v>
      </c>
      <c r="H26" s="90">
        <f>IF(F26&gt;=Assumptions!$B$13,INDEX(Assumptions!$C$5:$C$10,MATCH(E26,Assumptions!$A$5:$A$10,0)),INDEX(Assumptions!$B$5:$B$10,MATCH(E26,Assumptions!$A$5:$A$10,0)))</f>
        <v>4.99</v>
      </c>
      <c r="I26" s="90">
        <f>H26</f>
        <v>4.99</v>
      </c>
      <c r="J26" s="80">
        <f>INDEX(Assumptions!$D$5:$D$10,MATCH(E26,Assumptions!$A$5:$A$10,0))*IF(C26=1,Assumptions!$B$12,1)</f>
        <v>1.2</v>
      </c>
      <c r="K26" s="90">
        <f>IF(M26&lt;&gt;"",M26,H26*J26)</f>
        <v>5.9880000000000004</v>
      </c>
      <c r="L26" s="90">
        <f>K26-I26</f>
        <v>0.99800000000000022</v>
      </c>
      <c r="M26" s="115"/>
    </row>
    <row r="27" spans="1:15" x14ac:dyDescent="0.2">
      <c r="A27" t="s">
        <v>94</v>
      </c>
      <c r="B27" t="s">
        <v>38</v>
      </c>
      <c r="C27" s="91">
        <v>5</v>
      </c>
      <c r="D27" t="s">
        <v>104</v>
      </c>
      <c r="E27" t="str">
        <f>IF(ISNUMBER(SEARCH("Incentive",D27)),"Incentive 1:25",IF(ISNUMBER(SEARCH("Foil",D27)),"Foil Variant",IF(OR(ISNUMBER(SEARCH("Annual",A27)),ISNUMBER(SEARCH("Special",A27))),"Annual/Special",IF(ISNUMBER(SEARCH("Printing",D27)),"Later Printing",IF(ISNUMBER(SEARCH("Regular",D27)),"Regular","Variant")))))</f>
        <v>Regular</v>
      </c>
      <c r="F27" s="91">
        <v>2025</v>
      </c>
      <c r="G27" t="s">
        <v>444</v>
      </c>
      <c r="H27" s="90">
        <f>IF(F27&gt;=Assumptions!$B$13,INDEX(Assumptions!$C$5:$C$10,MATCH(E27,Assumptions!$A$5:$A$10,0)),INDEX(Assumptions!$B$5:$B$10,MATCH(E27,Assumptions!$A$5:$A$10,0)))</f>
        <v>4.99</v>
      </c>
      <c r="I27" s="90">
        <f>H27</f>
        <v>4.99</v>
      </c>
      <c r="J27" s="80">
        <f>INDEX(Assumptions!$D$5:$D$10,MATCH(E27,Assumptions!$A$5:$A$10,0))*IF(C27=1,Assumptions!$B$12,1)</f>
        <v>1.4</v>
      </c>
      <c r="K27" s="90">
        <f>IF(M27&lt;&gt;"",M27,H27*J27)</f>
        <v>6.9859999999999998</v>
      </c>
      <c r="L27" s="90">
        <f>K27-I27</f>
        <v>1.9959999999999996</v>
      </c>
      <c r="M27" s="115"/>
    </row>
    <row r="28" spans="1:15" x14ac:dyDescent="0.2">
      <c r="A28" t="s">
        <v>94</v>
      </c>
      <c r="B28" t="s">
        <v>107</v>
      </c>
      <c r="C28" s="91">
        <v>6</v>
      </c>
      <c r="D28" t="s">
        <v>104</v>
      </c>
      <c r="E28" t="str">
        <f>IF(ISNUMBER(SEARCH("Incentive",D28)),"Incentive 1:25",IF(ISNUMBER(SEARCH("Foil",D28)),"Foil Variant",IF(OR(ISNUMBER(SEARCH("Annual",A28)),ISNUMBER(SEARCH("Special",A28))),"Annual/Special",IF(ISNUMBER(SEARCH("Printing",D28)),"Later Printing",IF(ISNUMBER(SEARCH("Regular",D28)),"Regular","Variant")))))</f>
        <v>Regular</v>
      </c>
      <c r="F28" s="91">
        <v>2025</v>
      </c>
      <c r="G28" t="s">
        <v>444</v>
      </c>
      <c r="H28" s="90">
        <f>IF(F28&gt;=Assumptions!$B$13,INDEX(Assumptions!$C$5:$C$10,MATCH(E28,Assumptions!$A$5:$A$10,0)),INDEX(Assumptions!$B$5:$B$10,MATCH(E28,Assumptions!$A$5:$A$10,0)))</f>
        <v>4.99</v>
      </c>
      <c r="I28" s="90">
        <f>H28</f>
        <v>4.99</v>
      </c>
      <c r="J28" s="80">
        <f>INDEX(Assumptions!$D$5:$D$10,MATCH(E28,Assumptions!$A$5:$A$10,0))*IF(C28=1,Assumptions!$B$12,1)</f>
        <v>1.4</v>
      </c>
      <c r="K28" s="90">
        <f>IF(M28&lt;&gt;"",M28,H28*J28)</f>
        <v>6.9859999999999998</v>
      </c>
      <c r="L28" s="90">
        <f>K28-I28</f>
        <v>1.9959999999999996</v>
      </c>
      <c r="M28" s="115"/>
    </row>
    <row r="29" spans="1:15" x14ac:dyDescent="0.2">
      <c r="A29" t="s">
        <v>94</v>
      </c>
      <c r="B29" t="s">
        <v>110</v>
      </c>
      <c r="C29" s="91">
        <v>7</v>
      </c>
      <c r="D29" t="s">
        <v>104</v>
      </c>
      <c r="E29" t="str">
        <f>IF(ISNUMBER(SEARCH("Incentive",D29)),"Incentive 1:25",IF(ISNUMBER(SEARCH("Foil",D29)),"Foil Variant",IF(OR(ISNUMBER(SEARCH("Annual",A29)),ISNUMBER(SEARCH("Special",A29))),"Annual/Special",IF(ISNUMBER(SEARCH("Printing",D29)),"Later Printing",IF(ISNUMBER(SEARCH("Regular",D29)),"Regular","Variant")))))</f>
        <v>Regular</v>
      </c>
      <c r="F29" s="91">
        <v>2025</v>
      </c>
      <c r="G29" t="s">
        <v>444</v>
      </c>
      <c r="H29" s="90">
        <f>IF(F29&gt;=Assumptions!$B$13,INDEX(Assumptions!$C$5:$C$10,MATCH(E29,Assumptions!$A$5:$A$10,0)),INDEX(Assumptions!$B$5:$B$10,MATCH(E29,Assumptions!$A$5:$A$10,0)))</f>
        <v>4.99</v>
      </c>
      <c r="I29" s="90">
        <f>H29</f>
        <v>4.99</v>
      </c>
      <c r="J29" s="80">
        <f>INDEX(Assumptions!$D$5:$D$10,MATCH(E29,Assumptions!$A$5:$A$10,0))*IF(C29=1,Assumptions!$B$12,1)</f>
        <v>1.4</v>
      </c>
      <c r="K29" s="90">
        <f>IF(M29&lt;&gt;"",M29,H29*J29)</f>
        <v>6.9859999999999998</v>
      </c>
      <c r="L29" s="90">
        <f>K29-I29</f>
        <v>1.9959999999999996</v>
      </c>
      <c r="M29" s="115"/>
    </row>
    <row r="30" spans="1:15" x14ac:dyDescent="0.2">
      <c r="A30" t="s">
        <v>94</v>
      </c>
      <c r="B30" t="s">
        <v>111</v>
      </c>
      <c r="C30" s="91">
        <v>11</v>
      </c>
      <c r="D30" t="s">
        <v>112</v>
      </c>
      <c r="E30" t="str">
        <f>IF(ISNUMBER(SEARCH("Incentive",D30)),"Incentive 1:25",IF(ISNUMBER(SEARCH("Foil",D30)),"Foil Variant",IF(OR(ISNUMBER(SEARCH("Annual",A30)),ISNUMBER(SEARCH("Special",A30))),"Annual/Special",IF(ISNUMBER(SEARCH("Printing",D30)),"Later Printing",IF(ISNUMBER(SEARCH("Regular",D30)),"Regular","Variant")))))</f>
        <v>Variant</v>
      </c>
      <c r="F30" s="91">
        <v>2026</v>
      </c>
      <c r="G30" t="s">
        <v>444</v>
      </c>
      <c r="H30" s="90">
        <f>IF(F30&gt;=Assumptions!$B$13,INDEX(Assumptions!$C$5:$C$10,MATCH(E30,Assumptions!$A$5:$A$10,0)),INDEX(Assumptions!$B$5:$B$10,MATCH(E30,Assumptions!$A$5:$A$10,0)))</f>
        <v>5.99</v>
      </c>
      <c r="I30" s="90">
        <f>H30</f>
        <v>5.99</v>
      </c>
      <c r="J30" s="80">
        <f>INDEX(Assumptions!$D$5:$D$10,MATCH(E30,Assumptions!$A$5:$A$10,0))*IF(C30=1,Assumptions!$B$12,1)</f>
        <v>1.8</v>
      </c>
      <c r="K30" s="90">
        <f>IF(M30&lt;&gt;"",M30,H30*J30)</f>
        <v>10.782</v>
      </c>
      <c r="L30" s="90">
        <f>K30-I30</f>
        <v>4.7919999999999998</v>
      </c>
      <c r="M30" s="115"/>
    </row>
    <row r="31" spans="1:15" x14ac:dyDescent="0.2">
      <c r="A31" t="s">
        <v>94</v>
      </c>
      <c r="B31" t="s">
        <v>114</v>
      </c>
      <c r="C31" s="91">
        <v>12</v>
      </c>
      <c r="D31" t="s">
        <v>104</v>
      </c>
      <c r="E31" t="str">
        <f>IF(ISNUMBER(SEARCH("Incentive",D31)),"Incentive 1:25",IF(ISNUMBER(SEARCH("Foil",D31)),"Foil Variant",IF(OR(ISNUMBER(SEARCH("Annual",A31)),ISNUMBER(SEARCH("Special",A31))),"Annual/Special",IF(ISNUMBER(SEARCH("Printing",D31)),"Later Printing",IF(ISNUMBER(SEARCH("Regular",D31)),"Regular","Variant")))))</f>
        <v>Regular</v>
      </c>
      <c r="F31" s="91">
        <v>2026</v>
      </c>
      <c r="G31" t="s">
        <v>444</v>
      </c>
      <c r="H31" s="90">
        <f>IF(F31&gt;=Assumptions!$B$13,INDEX(Assumptions!$C$5:$C$10,MATCH(E31,Assumptions!$A$5:$A$10,0)),INDEX(Assumptions!$B$5:$B$10,MATCH(E31,Assumptions!$A$5:$A$10,0)))</f>
        <v>5.99</v>
      </c>
      <c r="I31" s="90">
        <f>H31</f>
        <v>5.99</v>
      </c>
      <c r="J31" s="80">
        <f>INDEX(Assumptions!$D$5:$D$10,MATCH(E31,Assumptions!$A$5:$A$10,0))*IF(C31=1,Assumptions!$B$12,1)</f>
        <v>1.4</v>
      </c>
      <c r="K31" s="90">
        <f>IF(M31&lt;&gt;"",M31,H31*J31)</f>
        <v>8.3859999999999992</v>
      </c>
      <c r="L31" s="90">
        <f>K31-I31</f>
        <v>2.395999999999999</v>
      </c>
      <c r="M31" s="115"/>
    </row>
    <row r="32" spans="1:15" x14ac:dyDescent="0.2">
      <c r="A32" t="s">
        <v>94</v>
      </c>
      <c r="B32" t="s">
        <v>115</v>
      </c>
      <c r="C32" s="91">
        <v>13</v>
      </c>
      <c r="D32" t="s">
        <v>116</v>
      </c>
      <c r="E32" t="str">
        <f>IF(ISNUMBER(SEARCH("Incentive",D32)),"Incentive 1:25",IF(ISNUMBER(SEARCH("Foil",D32)),"Foil Variant",IF(OR(ISNUMBER(SEARCH("Annual",A32)),ISNUMBER(SEARCH("Special",A32))),"Annual/Special",IF(ISNUMBER(SEARCH("Printing",D32)),"Later Printing",IF(ISNUMBER(SEARCH("Regular",D32)),"Regular","Variant")))))</f>
        <v>Variant</v>
      </c>
      <c r="F32" s="91">
        <v>2026</v>
      </c>
      <c r="G32" t="s">
        <v>444</v>
      </c>
      <c r="H32" s="90">
        <f>IF(F32&gt;=Assumptions!$B$13,INDEX(Assumptions!$C$5:$C$10,MATCH(E32,Assumptions!$A$5:$A$10,0)),INDEX(Assumptions!$B$5:$B$10,MATCH(E32,Assumptions!$A$5:$A$10,0)))</f>
        <v>5.99</v>
      </c>
      <c r="I32" s="90">
        <f>H32</f>
        <v>5.99</v>
      </c>
      <c r="J32" s="80">
        <f>INDEX(Assumptions!$D$5:$D$10,MATCH(E32,Assumptions!$A$5:$A$10,0))*IF(C32=1,Assumptions!$B$12,1)</f>
        <v>1.8</v>
      </c>
      <c r="K32" s="90">
        <f>IF(M32&lt;&gt;"",M32,H32*J32)</f>
        <v>10.782</v>
      </c>
      <c r="L32" s="90">
        <f>K32-I32</f>
        <v>4.7919999999999998</v>
      </c>
      <c r="M32" s="115"/>
    </row>
    <row r="33" spans="1:15" x14ac:dyDescent="0.2">
      <c r="A33" t="s">
        <v>94</v>
      </c>
      <c r="B33" t="s">
        <v>118</v>
      </c>
      <c r="C33" s="91">
        <v>17</v>
      </c>
      <c r="D33" t="s">
        <v>119</v>
      </c>
      <c r="E33" t="str">
        <f>IF(ISNUMBER(SEARCH("Incentive",D33)),"Incentive 1:25",IF(ISNUMBER(SEARCH("Foil",D33)),"Foil Variant",IF(OR(ISNUMBER(SEARCH("Annual",A33)),ISNUMBER(SEARCH("Special",A33))),"Annual/Special",IF(ISNUMBER(SEARCH("Printing",D33)),"Later Printing",IF(ISNUMBER(SEARCH("Regular",D33)),"Regular","Variant")))))</f>
        <v>Variant</v>
      </c>
      <c r="F33" s="91">
        <v>2026</v>
      </c>
      <c r="G33" t="s">
        <v>444</v>
      </c>
      <c r="H33" s="90">
        <f>IF(F33&gt;=Assumptions!$B$13,INDEX(Assumptions!$C$5:$C$10,MATCH(E33,Assumptions!$A$5:$A$10,0)),INDEX(Assumptions!$B$5:$B$10,MATCH(E33,Assumptions!$A$5:$A$10,0)))</f>
        <v>5.99</v>
      </c>
      <c r="I33" s="90">
        <f>H33</f>
        <v>5.99</v>
      </c>
      <c r="J33" s="80">
        <f>INDEX(Assumptions!$D$5:$D$10,MATCH(E33,Assumptions!$A$5:$A$10,0))*IF(C33=1,Assumptions!$B$12,1)</f>
        <v>1.8</v>
      </c>
      <c r="K33" s="90">
        <f>IF(M33&lt;&gt;"",M33,H33*J33)</f>
        <v>10.782</v>
      </c>
      <c r="L33" s="90">
        <f>K33-I33</f>
        <v>4.7919999999999998</v>
      </c>
      <c r="M33" s="115"/>
    </row>
    <row r="34" spans="1:15" x14ac:dyDescent="0.2">
      <c r="A34" t="s">
        <v>121</v>
      </c>
      <c r="B34" t="s">
        <v>21</v>
      </c>
      <c r="C34" s="91">
        <v>1</v>
      </c>
      <c r="D34" t="s">
        <v>122</v>
      </c>
      <c r="E34" t="str">
        <f>IF(ISNUMBER(SEARCH("Incentive",D34)),"Incentive 1:25",IF(ISNUMBER(SEARCH("Foil",D34)),"Foil Variant",IF(OR(ISNUMBER(SEARCH("Annual",A34)),ISNUMBER(SEARCH("Special",A34))),"Annual/Special",IF(ISNUMBER(SEARCH("Printing",D34)),"Later Printing",IF(ISNUMBER(SEARCH("Regular",D34)),"Regular","Variant")))))</f>
        <v>Regular</v>
      </c>
      <c r="F34" s="91">
        <v>2026</v>
      </c>
      <c r="G34" t="s">
        <v>444</v>
      </c>
      <c r="H34" s="90">
        <f>IF(F34&gt;=Assumptions!$B$13,INDEX(Assumptions!$C$5:$C$10,MATCH(E34,Assumptions!$A$5:$A$10,0)),INDEX(Assumptions!$B$5:$B$10,MATCH(E34,Assumptions!$A$5:$A$10,0)))</f>
        <v>5.99</v>
      </c>
      <c r="I34" s="90">
        <f>H34</f>
        <v>5.99</v>
      </c>
      <c r="J34" s="80">
        <f>INDEX(Assumptions!$D$5:$D$10,MATCH(E34,Assumptions!$A$5:$A$10,0))*IF(C34=1,Assumptions!$B$12,1)</f>
        <v>2.8</v>
      </c>
      <c r="K34" s="90">
        <f>IF(M34&lt;&gt;"",M34,H34*J34)</f>
        <v>8</v>
      </c>
      <c r="L34" s="90">
        <f>K34-I34</f>
        <v>2.0099999999999998</v>
      </c>
      <c r="M34" s="115">
        <v>8</v>
      </c>
      <c r="N34" t="s">
        <v>490</v>
      </c>
      <c r="O34" t="s">
        <v>486</v>
      </c>
    </row>
    <row r="35" spans="1:15" x14ac:dyDescent="0.2">
      <c r="A35" t="s">
        <v>121</v>
      </c>
      <c r="B35" t="s">
        <v>125</v>
      </c>
      <c r="C35" s="91">
        <v>2</v>
      </c>
      <c r="D35" t="s">
        <v>122</v>
      </c>
      <c r="E35" t="str">
        <f>IF(ISNUMBER(SEARCH("Incentive",D35)),"Incentive 1:25",IF(ISNUMBER(SEARCH("Foil",D35)),"Foil Variant",IF(OR(ISNUMBER(SEARCH("Annual",A35)),ISNUMBER(SEARCH("Special",A35))),"Annual/Special",IF(ISNUMBER(SEARCH("Printing",D35)),"Later Printing",IF(ISNUMBER(SEARCH("Regular",D35)),"Regular","Variant")))))</f>
        <v>Regular</v>
      </c>
      <c r="F35" s="91">
        <v>2026</v>
      </c>
      <c r="G35" t="s">
        <v>444</v>
      </c>
      <c r="H35" s="90">
        <f>IF(F35&gt;=Assumptions!$B$13,INDEX(Assumptions!$C$5:$C$10,MATCH(E35,Assumptions!$A$5:$A$10,0)),INDEX(Assumptions!$B$5:$B$10,MATCH(E35,Assumptions!$A$5:$A$10,0)))</f>
        <v>5.99</v>
      </c>
      <c r="I35" s="90">
        <f>H35</f>
        <v>5.99</v>
      </c>
      <c r="J35" s="80">
        <f>INDEX(Assumptions!$D$5:$D$10,MATCH(E35,Assumptions!$A$5:$A$10,0))*IF(C35=1,Assumptions!$B$12,1)</f>
        <v>1.4</v>
      </c>
      <c r="K35" s="90">
        <f>IF(M35&lt;&gt;"",M35,H35*J35)</f>
        <v>8.3859999999999992</v>
      </c>
      <c r="L35" s="90">
        <f>K35-I35</f>
        <v>2.395999999999999</v>
      </c>
      <c r="M35" s="115"/>
    </row>
    <row r="36" spans="1:15" x14ac:dyDescent="0.2">
      <c r="A36" t="s">
        <v>126</v>
      </c>
      <c r="B36" t="s">
        <v>127</v>
      </c>
      <c r="C36" s="91">
        <v>1</v>
      </c>
      <c r="D36" t="s">
        <v>128</v>
      </c>
      <c r="E36" t="str">
        <f>IF(ISNUMBER(SEARCH("Incentive",D36)),"Incentive 1:25",IF(ISNUMBER(SEARCH("Foil",D36)),"Foil Variant",IF(OR(ISNUMBER(SEARCH("Annual",A36)),ISNUMBER(SEARCH("Special",A36))),"Annual/Special",IF(ISNUMBER(SEARCH("Printing",D36)),"Later Printing",IF(ISNUMBER(SEARCH("Regular",D36)),"Regular","Variant")))))</f>
        <v>Foil Variant</v>
      </c>
      <c r="F36" s="91">
        <v>2025</v>
      </c>
      <c r="G36" t="s">
        <v>444</v>
      </c>
      <c r="H36" s="90">
        <f>IF(F36&gt;=Assumptions!$B$13,INDEX(Assumptions!$C$5:$C$10,MATCH(E36,Assumptions!$A$5:$A$10,0)),INDEX(Assumptions!$B$5:$B$10,MATCH(E36,Assumptions!$A$5:$A$10,0)))</f>
        <v>6.99</v>
      </c>
      <c r="I36" s="90">
        <f>H36</f>
        <v>6.99</v>
      </c>
      <c r="J36" s="80">
        <f>INDEX(Assumptions!$D$5:$D$10,MATCH(E36,Assumptions!$A$5:$A$10,0))*IF(C36=1,Assumptions!$B$12,1)</f>
        <v>5</v>
      </c>
      <c r="K36" s="90">
        <f>IF(M36&lt;&gt;"",M36,H36*J36)</f>
        <v>30</v>
      </c>
      <c r="L36" s="90">
        <f>K36-I36</f>
        <v>23.009999999999998</v>
      </c>
      <c r="M36" s="115">
        <v>30</v>
      </c>
      <c r="N36" t="s">
        <v>491</v>
      </c>
      <c r="O36" t="s">
        <v>486</v>
      </c>
    </row>
    <row r="37" spans="1:15" x14ac:dyDescent="0.2">
      <c r="A37" t="s">
        <v>126</v>
      </c>
      <c r="B37" t="s">
        <v>125</v>
      </c>
      <c r="C37" s="91">
        <v>2</v>
      </c>
      <c r="D37" t="s">
        <v>130</v>
      </c>
      <c r="E37" t="str">
        <f>IF(ISNUMBER(SEARCH("Incentive",D37)),"Incentive 1:25",IF(ISNUMBER(SEARCH("Foil",D37)),"Foil Variant",IF(OR(ISNUMBER(SEARCH("Annual",A37)),ISNUMBER(SEARCH("Special",A37))),"Annual/Special",IF(ISNUMBER(SEARCH("Printing",D37)),"Later Printing",IF(ISNUMBER(SEARCH("Regular",D37)),"Regular","Variant")))))</f>
        <v>Regular</v>
      </c>
      <c r="F37" s="91">
        <v>2025</v>
      </c>
      <c r="G37" t="s">
        <v>444</v>
      </c>
      <c r="H37" s="90">
        <f>IF(F37&gt;=Assumptions!$B$13,INDEX(Assumptions!$C$5:$C$10,MATCH(E37,Assumptions!$A$5:$A$10,0)),INDEX(Assumptions!$B$5:$B$10,MATCH(E37,Assumptions!$A$5:$A$10,0)))</f>
        <v>4.99</v>
      </c>
      <c r="I37" s="90">
        <f>H37</f>
        <v>4.99</v>
      </c>
      <c r="J37" s="80">
        <f>INDEX(Assumptions!$D$5:$D$10,MATCH(E37,Assumptions!$A$5:$A$10,0))*IF(C37=1,Assumptions!$B$12,1)</f>
        <v>1.4</v>
      </c>
      <c r="K37" s="90">
        <f>IF(M37&lt;&gt;"",M37,H37*J37)</f>
        <v>6.9859999999999998</v>
      </c>
      <c r="L37" s="90">
        <f>K37-I37</f>
        <v>1.9959999999999996</v>
      </c>
      <c r="M37" s="115"/>
    </row>
    <row r="38" spans="1:15" x14ac:dyDescent="0.2">
      <c r="A38" t="s">
        <v>126</v>
      </c>
      <c r="B38" t="s">
        <v>132</v>
      </c>
      <c r="C38" s="91">
        <v>4</v>
      </c>
      <c r="D38" t="s">
        <v>133</v>
      </c>
      <c r="E38" t="str">
        <f>IF(ISNUMBER(SEARCH("Incentive",D38)),"Incentive 1:25",IF(ISNUMBER(SEARCH("Foil",D38)),"Foil Variant",IF(OR(ISNUMBER(SEARCH("Annual",A38)),ISNUMBER(SEARCH("Special",A38))),"Annual/Special",IF(ISNUMBER(SEARCH("Printing",D38)),"Later Printing",IF(ISNUMBER(SEARCH("Regular",D38)),"Regular","Variant")))))</f>
        <v>Variant</v>
      </c>
      <c r="F38" s="91">
        <v>2025</v>
      </c>
      <c r="G38" t="s">
        <v>444</v>
      </c>
      <c r="H38" s="90">
        <f>IF(F38&gt;=Assumptions!$B$13,INDEX(Assumptions!$C$5:$C$10,MATCH(E38,Assumptions!$A$5:$A$10,0)),INDEX(Assumptions!$B$5:$B$10,MATCH(E38,Assumptions!$A$5:$A$10,0)))</f>
        <v>4.99</v>
      </c>
      <c r="I38" s="90">
        <f>H38</f>
        <v>4.99</v>
      </c>
      <c r="J38" s="80">
        <f>INDEX(Assumptions!$D$5:$D$10,MATCH(E38,Assumptions!$A$5:$A$10,0))*IF(C38=1,Assumptions!$B$12,1)</f>
        <v>1.8</v>
      </c>
      <c r="K38" s="90">
        <f>IF(M38&lt;&gt;"",M38,H38*J38)</f>
        <v>8.9820000000000011</v>
      </c>
      <c r="L38" s="90">
        <f>K38-I38</f>
        <v>3.9920000000000009</v>
      </c>
      <c r="M38" s="115"/>
    </row>
    <row r="39" spans="1:15" x14ac:dyDescent="0.2">
      <c r="A39" t="s">
        <v>126</v>
      </c>
      <c r="B39" t="s">
        <v>38</v>
      </c>
      <c r="C39" s="91">
        <v>5</v>
      </c>
      <c r="D39" t="s">
        <v>130</v>
      </c>
      <c r="E39" t="str">
        <f>IF(ISNUMBER(SEARCH("Incentive",D39)),"Incentive 1:25",IF(ISNUMBER(SEARCH("Foil",D39)),"Foil Variant",IF(OR(ISNUMBER(SEARCH("Annual",A39)),ISNUMBER(SEARCH("Special",A39))),"Annual/Special",IF(ISNUMBER(SEARCH("Printing",D39)),"Later Printing",IF(ISNUMBER(SEARCH("Regular",D39)),"Regular","Variant")))))</f>
        <v>Regular</v>
      </c>
      <c r="F39" s="91">
        <v>2025</v>
      </c>
      <c r="G39" t="s">
        <v>444</v>
      </c>
      <c r="H39" s="90">
        <f>IF(F39&gt;=Assumptions!$B$13,INDEX(Assumptions!$C$5:$C$10,MATCH(E39,Assumptions!$A$5:$A$10,0)),INDEX(Assumptions!$B$5:$B$10,MATCH(E39,Assumptions!$A$5:$A$10,0)))</f>
        <v>4.99</v>
      </c>
      <c r="I39" s="90">
        <f>H39</f>
        <v>4.99</v>
      </c>
      <c r="J39" s="80">
        <f>INDEX(Assumptions!$D$5:$D$10,MATCH(E39,Assumptions!$A$5:$A$10,0))*IF(C39=1,Assumptions!$B$12,1)</f>
        <v>1.4</v>
      </c>
      <c r="K39" s="90">
        <f>IF(M39&lt;&gt;"",M39,H39*J39)</f>
        <v>6.9859999999999998</v>
      </c>
      <c r="L39" s="90">
        <f>K39-I39</f>
        <v>1.9959999999999996</v>
      </c>
      <c r="M39" s="115"/>
    </row>
    <row r="40" spans="1:15" x14ac:dyDescent="0.2">
      <c r="A40" t="s">
        <v>126</v>
      </c>
      <c r="B40" t="s">
        <v>136</v>
      </c>
      <c r="C40" s="91">
        <v>6</v>
      </c>
      <c r="D40" t="s">
        <v>133</v>
      </c>
      <c r="E40" t="str">
        <f>IF(ISNUMBER(SEARCH("Incentive",D40)),"Incentive 1:25",IF(ISNUMBER(SEARCH("Foil",D40)),"Foil Variant",IF(OR(ISNUMBER(SEARCH("Annual",A40)),ISNUMBER(SEARCH("Special",A40))),"Annual/Special",IF(ISNUMBER(SEARCH("Printing",D40)),"Later Printing",IF(ISNUMBER(SEARCH("Regular",D40)),"Regular","Variant")))))</f>
        <v>Variant</v>
      </c>
      <c r="F40" s="91">
        <v>2025</v>
      </c>
      <c r="G40" t="s">
        <v>444</v>
      </c>
      <c r="H40" s="90">
        <f>IF(F40&gt;=Assumptions!$B$13,INDEX(Assumptions!$C$5:$C$10,MATCH(E40,Assumptions!$A$5:$A$10,0)),INDEX(Assumptions!$B$5:$B$10,MATCH(E40,Assumptions!$A$5:$A$10,0)))</f>
        <v>4.99</v>
      </c>
      <c r="I40" s="90">
        <f>H40</f>
        <v>4.99</v>
      </c>
      <c r="J40" s="80">
        <f>INDEX(Assumptions!$D$5:$D$10,MATCH(E40,Assumptions!$A$5:$A$10,0))*IF(C40=1,Assumptions!$B$12,1)</f>
        <v>1.8</v>
      </c>
      <c r="K40" s="90">
        <f>IF(M40&lt;&gt;"",M40,H40*J40)</f>
        <v>8.9820000000000011</v>
      </c>
      <c r="L40" s="90">
        <f>K40-I40</f>
        <v>3.9920000000000009</v>
      </c>
      <c r="M40" s="115"/>
    </row>
    <row r="41" spans="1:15" x14ac:dyDescent="0.2">
      <c r="A41" t="s">
        <v>126</v>
      </c>
      <c r="B41" t="s">
        <v>42</v>
      </c>
      <c r="C41" s="91">
        <v>7</v>
      </c>
      <c r="D41" t="s">
        <v>139</v>
      </c>
      <c r="E41" t="str">
        <f>IF(ISNUMBER(SEARCH("Incentive",D41)),"Incentive 1:25",IF(ISNUMBER(SEARCH("Foil",D41)),"Foil Variant",IF(OR(ISNUMBER(SEARCH("Annual",A41)),ISNUMBER(SEARCH("Special",A41))),"Annual/Special",IF(ISNUMBER(SEARCH("Printing",D41)),"Later Printing",IF(ISNUMBER(SEARCH("Regular",D41)),"Regular","Variant")))))</f>
        <v>Variant</v>
      </c>
      <c r="F41" s="91">
        <v>2025</v>
      </c>
      <c r="G41" t="s">
        <v>444</v>
      </c>
      <c r="H41" s="90">
        <f>IF(F41&gt;=Assumptions!$B$13,INDEX(Assumptions!$C$5:$C$10,MATCH(E41,Assumptions!$A$5:$A$10,0)),INDEX(Assumptions!$B$5:$B$10,MATCH(E41,Assumptions!$A$5:$A$10,0)))</f>
        <v>4.99</v>
      </c>
      <c r="I41" s="90">
        <f>H41</f>
        <v>4.99</v>
      </c>
      <c r="J41" s="80">
        <f>INDEX(Assumptions!$D$5:$D$10,MATCH(E41,Assumptions!$A$5:$A$10,0))*IF(C41=1,Assumptions!$B$12,1)</f>
        <v>1.8</v>
      </c>
      <c r="K41" s="90">
        <f>IF(M41&lt;&gt;"",M41,H41*J41)</f>
        <v>8.9820000000000011</v>
      </c>
      <c r="L41" s="90">
        <f>K41-I41</f>
        <v>3.9920000000000009</v>
      </c>
      <c r="M41" s="115"/>
    </row>
    <row r="42" spans="1:15" x14ac:dyDescent="0.2">
      <c r="A42" t="s">
        <v>126</v>
      </c>
      <c r="B42" t="s">
        <v>142</v>
      </c>
      <c r="C42" s="91">
        <v>8</v>
      </c>
      <c r="D42" t="s">
        <v>130</v>
      </c>
      <c r="E42" t="str">
        <f>IF(ISNUMBER(SEARCH("Incentive",D42)),"Incentive 1:25",IF(ISNUMBER(SEARCH("Foil",D42)),"Foil Variant",IF(OR(ISNUMBER(SEARCH("Annual",A42)),ISNUMBER(SEARCH("Special",A42))),"Annual/Special",IF(ISNUMBER(SEARCH("Printing",D42)),"Later Printing",IF(ISNUMBER(SEARCH("Regular",D42)),"Regular","Variant")))))</f>
        <v>Regular</v>
      </c>
      <c r="F42" s="91">
        <v>2025</v>
      </c>
      <c r="G42" t="s">
        <v>444</v>
      </c>
      <c r="H42" s="90">
        <f>IF(F42&gt;=Assumptions!$B$13,INDEX(Assumptions!$C$5:$C$10,MATCH(E42,Assumptions!$A$5:$A$10,0)),INDEX(Assumptions!$B$5:$B$10,MATCH(E42,Assumptions!$A$5:$A$10,0)))</f>
        <v>4.99</v>
      </c>
      <c r="I42" s="90">
        <f>H42</f>
        <v>4.99</v>
      </c>
      <c r="J42" s="80">
        <f>INDEX(Assumptions!$D$5:$D$10,MATCH(E42,Assumptions!$A$5:$A$10,0))*IF(C42=1,Assumptions!$B$12,1)</f>
        <v>1.4</v>
      </c>
      <c r="K42" s="90">
        <f>IF(M42&lt;&gt;"",M42,H42*J42)</f>
        <v>6.9859999999999998</v>
      </c>
      <c r="L42" s="90">
        <f>K42-I42</f>
        <v>1.9959999999999996</v>
      </c>
      <c r="M42" s="115"/>
    </row>
    <row r="43" spans="1:15" x14ac:dyDescent="0.2">
      <c r="A43" t="s">
        <v>126</v>
      </c>
      <c r="B43" t="s">
        <v>145</v>
      </c>
      <c r="C43" s="91">
        <v>9</v>
      </c>
      <c r="D43" t="s">
        <v>146</v>
      </c>
      <c r="E43" t="str">
        <f>IF(ISNUMBER(SEARCH("Incentive",D43)),"Incentive 1:25",IF(ISNUMBER(SEARCH("Foil",D43)),"Foil Variant",IF(OR(ISNUMBER(SEARCH("Annual",A43)),ISNUMBER(SEARCH("Special",A43))),"Annual/Special",IF(ISNUMBER(SEARCH("Printing",D43)),"Later Printing",IF(ISNUMBER(SEARCH("Regular",D43)),"Regular","Variant")))))</f>
        <v>Variant</v>
      </c>
      <c r="F43" s="91">
        <v>2025</v>
      </c>
      <c r="G43" t="s">
        <v>444</v>
      </c>
      <c r="H43" s="90">
        <f>IF(F43&gt;=Assumptions!$B$13,INDEX(Assumptions!$C$5:$C$10,MATCH(E43,Assumptions!$A$5:$A$10,0)),INDEX(Assumptions!$B$5:$B$10,MATCH(E43,Assumptions!$A$5:$A$10,0)))</f>
        <v>4.99</v>
      </c>
      <c r="I43" s="90">
        <f>H43</f>
        <v>4.99</v>
      </c>
      <c r="J43" s="80">
        <f>INDEX(Assumptions!$D$5:$D$10,MATCH(E43,Assumptions!$A$5:$A$10,0))*IF(C43=1,Assumptions!$B$12,1)</f>
        <v>1.8</v>
      </c>
      <c r="K43" s="90">
        <f>IF(M43&lt;&gt;"",M43,H43*J43)</f>
        <v>8.9820000000000011</v>
      </c>
      <c r="L43" s="90">
        <f>K43-I43</f>
        <v>3.9920000000000009</v>
      </c>
      <c r="M43" s="115"/>
    </row>
    <row r="44" spans="1:15" x14ac:dyDescent="0.2">
      <c r="A44" t="s">
        <v>126</v>
      </c>
      <c r="B44" t="s">
        <v>149</v>
      </c>
      <c r="C44" s="91">
        <v>10</v>
      </c>
      <c r="D44" t="s">
        <v>130</v>
      </c>
      <c r="E44" t="str">
        <f>IF(ISNUMBER(SEARCH("Incentive",D44)),"Incentive 1:25",IF(ISNUMBER(SEARCH("Foil",D44)),"Foil Variant",IF(OR(ISNUMBER(SEARCH("Annual",A44)),ISNUMBER(SEARCH("Special",A44))),"Annual/Special",IF(ISNUMBER(SEARCH("Printing",D44)),"Later Printing",IF(ISNUMBER(SEARCH("Regular",D44)),"Regular","Variant")))))</f>
        <v>Regular</v>
      </c>
      <c r="F44" s="91">
        <v>2026</v>
      </c>
      <c r="G44" t="s">
        <v>444</v>
      </c>
      <c r="H44" s="90">
        <f>IF(F44&gt;=Assumptions!$B$13,INDEX(Assumptions!$C$5:$C$10,MATCH(E44,Assumptions!$A$5:$A$10,0)),INDEX(Assumptions!$B$5:$B$10,MATCH(E44,Assumptions!$A$5:$A$10,0)))</f>
        <v>5.99</v>
      </c>
      <c r="I44" s="90">
        <f>H44</f>
        <v>5.99</v>
      </c>
      <c r="J44" s="80">
        <f>INDEX(Assumptions!$D$5:$D$10,MATCH(E44,Assumptions!$A$5:$A$10,0))*IF(C44=1,Assumptions!$B$12,1)</f>
        <v>1.4</v>
      </c>
      <c r="K44" s="90">
        <f>IF(M44&lt;&gt;"",M44,H44*J44)</f>
        <v>8.3859999999999992</v>
      </c>
      <c r="L44" s="90">
        <f>K44-I44</f>
        <v>2.395999999999999</v>
      </c>
      <c r="M44" s="115"/>
    </row>
    <row r="45" spans="1:15" x14ac:dyDescent="0.2">
      <c r="A45" t="s">
        <v>126</v>
      </c>
      <c r="B45" t="s">
        <v>152</v>
      </c>
      <c r="C45" s="91">
        <v>11</v>
      </c>
      <c r="D45" t="s">
        <v>130</v>
      </c>
      <c r="E45" t="str">
        <f>IF(ISNUMBER(SEARCH("Incentive",D45)),"Incentive 1:25",IF(ISNUMBER(SEARCH("Foil",D45)),"Foil Variant",IF(OR(ISNUMBER(SEARCH("Annual",A45)),ISNUMBER(SEARCH("Special",A45))),"Annual/Special",IF(ISNUMBER(SEARCH("Printing",D45)),"Later Printing",IF(ISNUMBER(SEARCH("Regular",D45)),"Regular","Variant")))))</f>
        <v>Regular</v>
      </c>
      <c r="F45" s="91">
        <v>2026</v>
      </c>
      <c r="G45" t="s">
        <v>444</v>
      </c>
      <c r="H45" s="90">
        <f>IF(F45&gt;=Assumptions!$B$13,INDEX(Assumptions!$C$5:$C$10,MATCH(E45,Assumptions!$A$5:$A$10,0)),INDEX(Assumptions!$B$5:$B$10,MATCH(E45,Assumptions!$A$5:$A$10,0)))</f>
        <v>5.99</v>
      </c>
      <c r="I45" s="90">
        <f>H45</f>
        <v>5.99</v>
      </c>
      <c r="J45" s="80">
        <f>INDEX(Assumptions!$D$5:$D$10,MATCH(E45,Assumptions!$A$5:$A$10,0))*IF(C45=1,Assumptions!$B$12,1)</f>
        <v>1.4</v>
      </c>
      <c r="K45" s="90">
        <f>IF(M45&lt;&gt;"",M45,H45*J45)</f>
        <v>8.3859999999999992</v>
      </c>
      <c r="L45" s="90">
        <f>K45-I45</f>
        <v>2.395999999999999</v>
      </c>
      <c r="M45" s="115"/>
    </row>
    <row r="46" spans="1:15" x14ac:dyDescent="0.2">
      <c r="A46" t="s">
        <v>126</v>
      </c>
      <c r="B46" t="s">
        <v>114</v>
      </c>
      <c r="C46" s="91">
        <v>12</v>
      </c>
      <c r="D46" t="s">
        <v>130</v>
      </c>
      <c r="E46" t="str">
        <f>IF(ISNUMBER(SEARCH("Incentive",D46)),"Incentive 1:25",IF(ISNUMBER(SEARCH("Foil",D46)),"Foil Variant",IF(OR(ISNUMBER(SEARCH("Annual",A46)),ISNUMBER(SEARCH("Special",A46))),"Annual/Special",IF(ISNUMBER(SEARCH("Printing",D46)),"Later Printing",IF(ISNUMBER(SEARCH("Regular",D46)),"Regular","Variant")))))</f>
        <v>Regular</v>
      </c>
      <c r="F46" s="91">
        <v>2026</v>
      </c>
      <c r="G46" t="s">
        <v>444</v>
      </c>
      <c r="H46" s="90">
        <f>IF(F46&gt;=Assumptions!$B$13,INDEX(Assumptions!$C$5:$C$10,MATCH(E46,Assumptions!$A$5:$A$10,0)),INDEX(Assumptions!$B$5:$B$10,MATCH(E46,Assumptions!$A$5:$A$10,0)))</f>
        <v>5.99</v>
      </c>
      <c r="I46" s="90">
        <f>H46</f>
        <v>5.99</v>
      </c>
      <c r="J46" s="80">
        <f>INDEX(Assumptions!$D$5:$D$10,MATCH(E46,Assumptions!$A$5:$A$10,0))*IF(C46=1,Assumptions!$B$12,1)</f>
        <v>1.4</v>
      </c>
      <c r="K46" s="90">
        <f>IF(M46&lt;&gt;"",M46,H46*J46)</f>
        <v>8.3859999999999992</v>
      </c>
      <c r="L46" s="90">
        <f>K46-I46</f>
        <v>2.395999999999999</v>
      </c>
      <c r="M46" s="115"/>
    </row>
    <row r="47" spans="1:15" x14ac:dyDescent="0.2">
      <c r="A47" t="s">
        <v>126</v>
      </c>
      <c r="B47" t="s">
        <v>157</v>
      </c>
      <c r="C47" s="91">
        <v>17</v>
      </c>
      <c r="D47" t="s">
        <v>130</v>
      </c>
      <c r="E47" t="str">
        <f>IF(ISNUMBER(SEARCH("Incentive",D47)),"Incentive 1:25",IF(ISNUMBER(SEARCH("Foil",D47)),"Foil Variant",IF(OR(ISNUMBER(SEARCH("Annual",A47)),ISNUMBER(SEARCH("Special",A47))),"Annual/Special",IF(ISNUMBER(SEARCH("Printing",D47)),"Later Printing",IF(ISNUMBER(SEARCH("Regular",D47)),"Regular","Variant")))))</f>
        <v>Regular</v>
      </c>
      <c r="F47" s="91">
        <v>2026</v>
      </c>
      <c r="G47" t="s">
        <v>444</v>
      </c>
      <c r="H47" s="90">
        <f>IF(F47&gt;=Assumptions!$B$13,INDEX(Assumptions!$C$5:$C$10,MATCH(E47,Assumptions!$A$5:$A$10,0)),INDEX(Assumptions!$B$5:$B$10,MATCH(E47,Assumptions!$A$5:$A$10,0)))</f>
        <v>5.99</v>
      </c>
      <c r="I47" s="90">
        <f>H47</f>
        <v>5.99</v>
      </c>
      <c r="J47" s="80">
        <f>INDEX(Assumptions!$D$5:$D$10,MATCH(E47,Assumptions!$A$5:$A$10,0))*IF(C47=1,Assumptions!$B$12,1)</f>
        <v>1.4</v>
      </c>
      <c r="K47" s="90">
        <f>IF(M47&lt;&gt;"",M47,H47*J47)</f>
        <v>8.3859999999999992</v>
      </c>
      <c r="L47" s="90">
        <f>K47-I47</f>
        <v>2.395999999999999</v>
      </c>
      <c r="M47" s="115"/>
    </row>
    <row r="48" spans="1:15" x14ac:dyDescent="0.2">
      <c r="A48" t="s">
        <v>126</v>
      </c>
      <c r="B48" t="s">
        <v>67</v>
      </c>
      <c r="C48" s="91">
        <v>18</v>
      </c>
      <c r="D48" t="s">
        <v>130</v>
      </c>
      <c r="E48" t="str">
        <f>IF(ISNUMBER(SEARCH("Incentive",D48)),"Incentive 1:25",IF(ISNUMBER(SEARCH("Foil",D48)),"Foil Variant",IF(OR(ISNUMBER(SEARCH("Annual",A48)),ISNUMBER(SEARCH("Special",A48))),"Annual/Special",IF(ISNUMBER(SEARCH("Printing",D48)),"Later Printing",IF(ISNUMBER(SEARCH("Regular",D48)),"Regular","Variant")))))</f>
        <v>Regular</v>
      </c>
      <c r="F48" s="91">
        <v>2026</v>
      </c>
      <c r="G48" t="s">
        <v>444</v>
      </c>
      <c r="H48" s="90">
        <f>IF(F48&gt;=Assumptions!$B$13,INDEX(Assumptions!$C$5:$C$10,MATCH(E48,Assumptions!$A$5:$A$10,0)),INDEX(Assumptions!$B$5:$B$10,MATCH(E48,Assumptions!$A$5:$A$10,0)))</f>
        <v>5.99</v>
      </c>
      <c r="I48" s="90">
        <f>H48</f>
        <v>5.99</v>
      </c>
      <c r="J48" s="80">
        <f>INDEX(Assumptions!$D$5:$D$10,MATCH(E48,Assumptions!$A$5:$A$10,0))*IF(C48=1,Assumptions!$B$12,1)</f>
        <v>1.4</v>
      </c>
      <c r="K48" s="90">
        <f>IF(M48&lt;&gt;"",M48,H48*J48)</f>
        <v>8.3859999999999992</v>
      </c>
      <c r="L48" s="90">
        <f>K48-I48</f>
        <v>2.395999999999999</v>
      </c>
      <c r="M48" s="115"/>
    </row>
    <row r="49" spans="1:15" x14ac:dyDescent="0.2">
      <c r="A49" t="s">
        <v>162</v>
      </c>
      <c r="B49" t="s">
        <v>163</v>
      </c>
      <c r="C49" s="91">
        <v>1</v>
      </c>
      <c r="D49" t="s">
        <v>164</v>
      </c>
      <c r="E49" t="str">
        <f>IF(ISNUMBER(SEARCH("Incentive",D49)),"Incentive 1:25",IF(ISNUMBER(SEARCH("Foil",D49)),"Foil Variant",IF(OR(ISNUMBER(SEARCH("Annual",A49)),ISNUMBER(SEARCH("Special",A49))),"Annual/Special",IF(ISNUMBER(SEARCH("Printing",D49)),"Later Printing",IF(ISNUMBER(SEARCH("Regular",D49)),"Regular","Variant")))))</f>
        <v>Foil Variant</v>
      </c>
      <c r="F49" s="91">
        <v>2025</v>
      </c>
      <c r="G49" t="s">
        <v>444</v>
      </c>
      <c r="H49" s="90">
        <f>IF(F49&gt;=Assumptions!$B$13,INDEX(Assumptions!$C$5:$C$10,MATCH(E49,Assumptions!$A$5:$A$10,0)),INDEX(Assumptions!$B$5:$B$10,MATCH(E49,Assumptions!$A$5:$A$10,0)))</f>
        <v>6.99</v>
      </c>
      <c r="I49" s="90">
        <f>H49</f>
        <v>6.99</v>
      </c>
      <c r="J49" s="80">
        <f>INDEX(Assumptions!$D$5:$D$10,MATCH(E49,Assumptions!$A$5:$A$10,0))*IF(C49=1,Assumptions!$B$12,1)</f>
        <v>5</v>
      </c>
      <c r="K49" s="90">
        <f>IF(M49&lt;&gt;"",M49,H49*J49)</f>
        <v>30</v>
      </c>
      <c r="L49" s="90">
        <f>K49-I49</f>
        <v>23.009999999999998</v>
      </c>
      <c r="M49" s="115">
        <v>30</v>
      </c>
      <c r="N49" t="s">
        <v>492</v>
      </c>
      <c r="O49" t="s">
        <v>486</v>
      </c>
    </row>
    <row r="50" spans="1:15" x14ac:dyDescent="0.2">
      <c r="A50" t="s">
        <v>162</v>
      </c>
      <c r="B50" t="s">
        <v>125</v>
      </c>
      <c r="C50" s="91">
        <v>2</v>
      </c>
      <c r="D50" t="s">
        <v>166</v>
      </c>
      <c r="E50" t="str">
        <f>IF(ISNUMBER(SEARCH("Incentive",D50)),"Incentive 1:25",IF(ISNUMBER(SEARCH("Foil",D50)),"Foil Variant",IF(OR(ISNUMBER(SEARCH("Annual",A50)),ISNUMBER(SEARCH("Special",A50))),"Annual/Special",IF(ISNUMBER(SEARCH("Printing",D50)),"Later Printing",IF(ISNUMBER(SEARCH("Regular",D50)),"Regular","Variant")))))</f>
        <v>Regular</v>
      </c>
      <c r="F50" s="91">
        <v>2025</v>
      </c>
      <c r="G50" t="s">
        <v>444</v>
      </c>
      <c r="H50" s="90">
        <f>IF(F50&gt;=Assumptions!$B$13,INDEX(Assumptions!$C$5:$C$10,MATCH(E50,Assumptions!$A$5:$A$10,0)),INDEX(Assumptions!$B$5:$B$10,MATCH(E50,Assumptions!$A$5:$A$10,0)))</f>
        <v>4.99</v>
      </c>
      <c r="I50" s="90">
        <f>H50</f>
        <v>4.99</v>
      </c>
      <c r="J50" s="80">
        <f>INDEX(Assumptions!$D$5:$D$10,MATCH(E50,Assumptions!$A$5:$A$10,0))*IF(C50=1,Assumptions!$B$12,1)</f>
        <v>1.4</v>
      </c>
      <c r="K50" s="90">
        <f>IF(M50&lt;&gt;"",M50,H50*J50)</f>
        <v>6.9859999999999998</v>
      </c>
      <c r="L50" s="90">
        <f>K50-I50</f>
        <v>1.9959999999999996</v>
      </c>
      <c r="M50" s="115"/>
    </row>
    <row r="51" spans="1:15" x14ac:dyDescent="0.2">
      <c r="A51" t="s">
        <v>162</v>
      </c>
      <c r="B51" t="s">
        <v>99</v>
      </c>
      <c r="C51" s="91">
        <v>3</v>
      </c>
      <c r="D51" t="s">
        <v>167</v>
      </c>
      <c r="E51" t="str">
        <f>IF(ISNUMBER(SEARCH("Incentive",D51)),"Incentive 1:25",IF(ISNUMBER(SEARCH("Foil",D51)),"Foil Variant",IF(OR(ISNUMBER(SEARCH("Annual",A51)),ISNUMBER(SEARCH("Special",A51))),"Annual/Special",IF(ISNUMBER(SEARCH("Printing",D51)),"Later Printing",IF(ISNUMBER(SEARCH("Regular",D51)),"Regular","Variant")))))</f>
        <v>Later Printing</v>
      </c>
      <c r="F51" s="91">
        <v>2025</v>
      </c>
      <c r="G51" t="s">
        <v>444</v>
      </c>
      <c r="H51" s="90">
        <f>IF(F51&gt;=Assumptions!$B$13,INDEX(Assumptions!$C$5:$C$10,MATCH(E51,Assumptions!$A$5:$A$10,0)),INDEX(Assumptions!$B$5:$B$10,MATCH(E51,Assumptions!$A$5:$A$10,0)))</f>
        <v>4.99</v>
      </c>
      <c r="I51" s="90">
        <f>H51</f>
        <v>4.99</v>
      </c>
      <c r="J51" s="80">
        <f>INDEX(Assumptions!$D$5:$D$10,MATCH(E51,Assumptions!$A$5:$A$10,0))*IF(C51=1,Assumptions!$B$12,1)</f>
        <v>1.2</v>
      </c>
      <c r="K51" s="90">
        <f>IF(M51&lt;&gt;"",M51,H51*J51)</f>
        <v>5.9880000000000004</v>
      </c>
      <c r="L51" s="90">
        <f>K51-I51</f>
        <v>0.99800000000000022</v>
      </c>
      <c r="M51" s="115"/>
    </row>
    <row r="52" spans="1:15" x14ac:dyDescent="0.2">
      <c r="A52" t="s">
        <v>162</v>
      </c>
      <c r="B52" t="s">
        <v>132</v>
      </c>
      <c r="C52" s="91">
        <v>4</v>
      </c>
      <c r="D52" t="s">
        <v>168</v>
      </c>
      <c r="E52" t="str">
        <f>IF(ISNUMBER(SEARCH("Incentive",D52)),"Incentive 1:25",IF(ISNUMBER(SEARCH("Foil",D52)),"Foil Variant",IF(OR(ISNUMBER(SEARCH("Annual",A52)),ISNUMBER(SEARCH("Special",A52))),"Annual/Special",IF(ISNUMBER(SEARCH("Printing",D52)),"Later Printing",IF(ISNUMBER(SEARCH("Regular",D52)),"Regular","Variant")))))</f>
        <v>Variant</v>
      </c>
      <c r="F52" s="91">
        <v>2025</v>
      </c>
      <c r="G52" t="s">
        <v>444</v>
      </c>
      <c r="H52" s="90">
        <f>IF(F52&gt;=Assumptions!$B$13,INDEX(Assumptions!$C$5:$C$10,MATCH(E52,Assumptions!$A$5:$A$10,0)),INDEX(Assumptions!$B$5:$B$10,MATCH(E52,Assumptions!$A$5:$A$10,0)))</f>
        <v>4.99</v>
      </c>
      <c r="I52" s="90">
        <f>H52</f>
        <v>4.99</v>
      </c>
      <c r="J52" s="80">
        <f>INDEX(Assumptions!$D$5:$D$10,MATCH(E52,Assumptions!$A$5:$A$10,0))*IF(C52=1,Assumptions!$B$12,1)</f>
        <v>1.8</v>
      </c>
      <c r="K52" s="90">
        <f>IF(M52&lt;&gt;"",M52,H52*J52)</f>
        <v>8.9820000000000011</v>
      </c>
      <c r="L52" s="90">
        <f>K52-I52</f>
        <v>3.9920000000000009</v>
      </c>
      <c r="M52" s="115"/>
    </row>
    <row r="53" spans="1:15" x14ac:dyDescent="0.2">
      <c r="A53" t="s">
        <v>162</v>
      </c>
      <c r="B53" t="s">
        <v>169</v>
      </c>
      <c r="C53" s="91">
        <v>5</v>
      </c>
      <c r="D53" t="s">
        <v>167</v>
      </c>
      <c r="E53" t="str">
        <f>IF(ISNUMBER(SEARCH("Incentive",D53)),"Incentive 1:25",IF(ISNUMBER(SEARCH("Foil",D53)),"Foil Variant",IF(OR(ISNUMBER(SEARCH("Annual",A53)),ISNUMBER(SEARCH("Special",A53))),"Annual/Special",IF(ISNUMBER(SEARCH("Printing",D53)),"Later Printing",IF(ISNUMBER(SEARCH("Regular",D53)),"Regular","Variant")))))</f>
        <v>Later Printing</v>
      </c>
      <c r="F53" s="91">
        <v>2025</v>
      </c>
      <c r="G53" t="s">
        <v>444</v>
      </c>
      <c r="H53" s="90">
        <f>IF(F53&gt;=Assumptions!$B$13,INDEX(Assumptions!$C$5:$C$10,MATCH(E53,Assumptions!$A$5:$A$10,0)),INDEX(Assumptions!$B$5:$B$10,MATCH(E53,Assumptions!$A$5:$A$10,0)))</f>
        <v>4.99</v>
      </c>
      <c r="I53" s="90">
        <f>H53</f>
        <v>4.99</v>
      </c>
      <c r="J53" s="80">
        <f>INDEX(Assumptions!$D$5:$D$10,MATCH(E53,Assumptions!$A$5:$A$10,0))*IF(C53=1,Assumptions!$B$12,1)</f>
        <v>1.2</v>
      </c>
      <c r="K53" s="90">
        <f>IF(M53&lt;&gt;"",M53,H53*J53)</f>
        <v>5.9880000000000004</v>
      </c>
      <c r="L53" s="90">
        <f>K53-I53</f>
        <v>0.99800000000000022</v>
      </c>
      <c r="M53" s="115"/>
    </row>
    <row r="54" spans="1:15" x14ac:dyDescent="0.2">
      <c r="A54" t="s">
        <v>162</v>
      </c>
      <c r="B54" t="s">
        <v>39</v>
      </c>
      <c r="C54" s="91">
        <v>6</v>
      </c>
      <c r="D54" t="s">
        <v>170</v>
      </c>
      <c r="E54" t="str">
        <f>IF(ISNUMBER(SEARCH("Incentive",D54)),"Incentive 1:25",IF(ISNUMBER(SEARCH("Foil",D54)),"Foil Variant",IF(OR(ISNUMBER(SEARCH("Annual",A54)),ISNUMBER(SEARCH("Special",A54))),"Annual/Special",IF(ISNUMBER(SEARCH("Printing",D54)),"Later Printing",IF(ISNUMBER(SEARCH("Regular",D54)),"Regular","Variant")))))</f>
        <v>Variant</v>
      </c>
      <c r="F54" s="91">
        <v>2025</v>
      </c>
      <c r="G54" t="s">
        <v>444</v>
      </c>
      <c r="H54" s="90">
        <f>IF(F54&gt;=Assumptions!$B$13,INDEX(Assumptions!$C$5:$C$10,MATCH(E54,Assumptions!$A$5:$A$10,0)),INDEX(Assumptions!$B$5:$B$10,MATCH(E54,Assumptions!$A$5:$A$10,0)))</f>
        <v>4.99</v>
      </c>
      <c r="I54" s="90">
        <f>H54</f>
        <v>4.99</v>
      </c>
      <c r="J54" s="80">
        <f>INDEX(Assumptions!$D$5:$D$10,MATCH(E54,Assumptions!$A$5:$A$10,0))*IF(C54=1,Assumptions!$B$12,1)</f>
        <v>1.8</v>
      </c>
      <c r="K54" s="90">
        <f>IF(M54&lt;&gt;"",M54,H54*J54)</f>
        <v>8.9820000000000011</v>
      </c>
      <c r="L54" s="90">
        <f>K54-I54</f>
        <v>3.9920000000000009</v>
      </c>
      <c r="M54" s="115"/>
    </row>
    <row r="55" spans="1:15" x14ac:dyDescent="0.2">
      <c r="A55" t="s">
        <v>162</v>
      </c>
      <c r="B55" t="s">
        <v>171</v>
      </c>
      <c r="C55" s="91">
        <v>10</v>
      </c>
      <c r="D55" t="s">
        <v>172</v>
      </c>
      <c r="E55" t="str">
        <f>IF(ISNUMBER(SEARCH("Incentive",D55)),"Incentive 1:25",IF(ISNUMBER(SEARCH("Foil",D55)),"Foil Variant",IF(OR(ISNUMBER(SEARCH("Annual",A55)),ISNUMBER(SEARCH("Special",A55))),"Annual/Special",IF(ISNUMBER(SEARCH("Printing",D55)),"Later Printing",IF(ISNUMBER(SEARCH("Regular",D55)),"Regular","Variant")))))</f>
        <v>Variant</v>
      </c>
      <c r="F55" s="91">
        <v>2026</v>
      </c>
      <c r="G55" t="s">
        <v>444</v>
      </c>
      <c r="H55" s="90">
        <f>IF(F55&gt;=Assumptions!$B$13,INDEX(Assumptions!$C$5:$C$10,MATCH(E55,Assumptions!$A$5:$A$10,0)),INDEX(Assumptions!$B$5:$B$10,MATCH(E55,Assumptions!$A$5:$A$10,0)))</f>
        <v>5.99</v>
      </c>
      <c r="I55" s="90">
        <f>H55</f>
        <v>5.99</v>
      </c>
      <c r="J55" s="80">
        <f>INDEX(Assumptions!$D$5:$D$10,MATCH(E55,Assumptions!$A$5:$A$10,0))*IF(C55=1,Assumptions!$B$12,1)</f>
        <v>1.8</v>
      </c>
      <c r="K55" s="90">
        <f>IF(M55&lt;&gt;"",M55,H55*J55)</f>
        <v>10.782</v>
      </c>
      <c r="L55" s="90">
        <f>K55-I55</f>
        <v>4.7919999999999998</v>
      </c>
      <c r="M55" s="115"/>
    </row>
    <row r="56" spans="1:15" x14ac:dyDescent="0.2">
      <c r="A56" t="s">
        <v>162</v>
      </c>
      <c r="B56" t="s">
        <v>152</v>
      </c>
      <c r="C56" s="91">
        <v>11</v>
      </c>
      <c r="D56" t="s">
        <v>166</v>
      </c>
      <c r="E56" t="str">
        <f>IF(ISNUMBER(SEARCH("Incentive",D56)),"Incentive 1:25",IF(ISNUMBER(SEARCH("Foil",D56)),"Foil Variant",IF(OR(ISNUMBER(SEARCH("Annual",A56)),ISNUMBER(SEARCH("Special",A56))),"Annual/Special",IF(ISNUMBER(SEARCH("Printing",D56)),"Later Printing",IF(ISNUMBER(SEARCH("Regular",D56)),"Regular","Variant")))))</f>
        <v>Regular</v>
      </c>
      <c r="F56" s="91">
        <v>2026</v>
      </c>
      <c r="G56" t="s">
        <v>444</v>
      </c>
      <c r="H56" s="90">
        <f>IF(F56&gt;=Assumptions!$B$13,INDEX(Assumptions!$C$5:$C$10,MATCH(E56,Assumptions!$A$5:$A$10,0)),INDEX(Assumptions!$B$5:$B$10,MATCH(E56,Assumptions!$A$5:$A$10,0)))</f>
        <v>5.99</v>
      </c>
      <c r="I56" s="90">
        <f>H56</f>
        <v>5.99</v>
      </c>
      <c r="J56" s="80">
        <f>INDEX(Assumptions!$D$5:$D$10,MATCH(E56,Assumptions!$A$5:$A$10,0))*IF(C56=1,Assumptions!$B$12,1)</f>
        <v>1.4</v>
      </c>
      <c r="K56" s="90">
        <f>IF(M56&lt;&gt;"",M56,H56*J56)</f>
        <v>8.3859999999999992</v>
      </c>
      <c r="L56" s="90">
        <f>K56-I56</f>
        <v>2.395999999999999</v>
      </c>
      <c r="M56" s="115"/>
    </row>
    <row r="57" spans="1:15" x14ac:dyDescent="0.2">
      <c r="A57" t="s">
        <v>173</v>
      </c>
      <c r="B57" t="s">
        <v>174</v>
      </c>
      <c r="C57" s="91">
        <v>1</v>
      </c>
      <c r="D57" t="s">
        <v>175</v>
      </c>
      <c r="E57" t="str">
        <f>IF(ISNUMBER(SEARCH("Incentive",D57)),"Incentive 1:25",IF(ISNUMBER(SEARCH("Foil",D57)),"Foil Variant",IF(OR(ISNUMBER(SEARCH("Annual",A57)),ISNUMBER(SEARCH("Special",A57))),"Annual/Special",IF(ISNUMBER(SEARCH("Printing",D57)),"Later Printing",IF(ISNUMBER(SEARCH("Regular",D57)),"Regular","Variant")))))</f>
        <v>Variant</v>
      </c>
      <c r="F57" s="91">
        <v>2024</v>
      </c>
      <c r="G57" t="s">
        <v>444</v>
      </c>
      <c r="H57" s="90">
        <f>IF(F57&gt;=Assumptions!$B$13,INDEX(Assumptions!$C$5:$C$10,MATCH(E57,Assumptions!$A$5:$A$10,0)),INDEX(Assumptions!$B$5:$B$10,MATCH(E57,Assumptions!$A$5:$A$10,0)))</f>
        <v>4.99</v>
      </c>
      <c r="I57" s="90">
        <f>H57</f>
        <v>4.99</v>
      </c>
      <c r="J57" s="80">
        <f>INDEX(Assumptions!$D$5:$D$10,MATCH(E57,Assumptions!$A$5:$A$10,0))*IF(C57=1,Assumptions!$B$12,1)</f>
        <v>3.6</v>
      </c>
      <c r="K57" s="90">
        <f>IF(M57&lt;&gt;"",M57,H57*J57)</f>
        <v>25</v>
      </c>
      <c r="L57" s="90">
        <f>K57-I57</f>
        <v>20.009999999999998</v>
      </c>
      <c r="M57" s="115">
        <v>25</v>
      </c>
      <c r="N57" t="s">
        <v>493</v>
      </c>
      <c r="O57" t="s">
        <v>486</v>
      </c>
    </row>
    <row r="58" spans="1:15" x14ac:dyDescent="0.2">
      <c r="A58" t="s">
        <v>173</v>
      </c>
      <c r="B58" t="s">
        <v>180</v>
      </c>
      <c r="C58" s="91">
        <v>2</v>
      </c>
      <c r="D58" t="s">
        <v>181</v>
      </c>
      <c r="E58" t="str">
        <f>IF(ISNUMBER(SEARCH("Incentive",D58)),"Incentive 1:25",IF(ISNUMBER(SEARCH("Foil",D58)),"Foil Variant",IF(OR(ISNUMBER(SEARCH("Annual",A58)),ISNUMBER(SEARCH("Special",A58))),"Annual/Special",IF(ISNUMBER(SEARCH("Printing",D58)),"Later Printing",IF(ISNUMBER(SEARCH("Regular",D58)),"Regular","Variant")))))</f>
        <v>Variant</v>
      </c>
      <c r="F58" s="91">
        <v>2024</v>
      </c>
      <c r="G58" t="s">
        <v>444</v>
      </c>
      <c r="H58" s="90">
        <f>IF(F58&gt;=Assumptions!$B$13,INDEX(Assumptions!$C$5:$C$10,MATCH(E58,Assumptions!$A$5:$A$10,0)),INDEX(Assumptions!$B$5:$B$10,MATCH(E58,Assumptions!$A$5:$A$10,0)))</f>
        <v>4.99</v>
      </c>
      <c r="I58" s="90">
        <f>H58</f>
        <v>4.99</v>
      </c>
      <c r="J58" s="80">
        <f>INDEX(Assumptions!$D$5:$D$10,MATCH(E58,Assumptions!$A$5:$A$10,0))*IF(C58=1,Assumptions!$B$12,1)</f>
        <v>1.8</v>
      </c>
      <c r="K58" s="90">
        <f>IF(M58&lt;&gt;"",M58,H58*J58)</f>
        <v>8.9820000000000011</v>
      </c>
      <c r="L58" s="90">
        <f>K58-I58</f>
        <v>3.9920000000000009</v>
      </c>
      <c r="M58" s="115"/>
    </row>
    <row r="59" spans="1:15" x14ac:dyDescent="0.2">
      <c r="A59" t="s">
        <v>173</v>
      </c>
      <c r="B59" t="s">
        <v>32</v>
      </c>
      <c r="C59" s="91">
        <v>3</v>
      </c>
      <c r="D59" t="s">
        <v>185</v>
      </c>
      <c r="E59" t="str">
        <f>IF(ISNUMBER(SEARCH("Incentive",D59)),"Incentive 1:25",IF(ISNUMBER(SEARCH("Foil",D59)),"Foil Variant",IF(OR(ISNUMBER(SEARCH("Annual",A59)),ISNUMBER(SEARCH("Special",A59))),"Annual/Special",IF(ISNUMBER(SEARCH("Printing",D59)),"Later Printing",IF(ISNUMBER(SEARCH("Regular",D59)),"Regular","Variant")))))</f>
        <v>Variant</v>
      </c>
      <c r="F59" s="91">
        <v>2025</v>
      </c>
      <c r="G59" t="s">
        <v>444</v>
      </c>
      <c r="H59" s="90">
        <f>IF(F59&gt;=Assumptions!$B$13,INDEX(Assumptions!$C$5:$C$10,MATCH(E59,Assumptions!$A$5:$A$10,0)),INDEX(Assumptions!$B$5:$B$10,MATCH(E59,Assumptions!$A$5:$A$10,0)))</f>
        <v>4.99</v>
      </c>
      <c r="I59" s="90">
        <f>H59</f>
        <v>4.99</v>
      </c>
      <c r="J59" s="80">
        <f>INDEX(Assumptions!$D$5:$D$10,MATCH(E59,Assumptions!$A$5:$A$10,0))*IF(C59=1,Assumptions!$B$12,1)</f>
        <v>1.8</v>
      </c>
      <c r="K59" s="90">
        <f>IF(M59&lt;&gt;"",M59,H59*J59)</f>
        <v>8.9820000000000011</v>
      </c>
      <c r="L59" s="90">
        <f>K59-I59</f>
        <v>3.9920000000000009</v>
      </c>
      <c r="M59" s="115"/>
    </row>
    <row r="60" spans="1:15" x14ac:dyDescent="0.2">
      <c r="A60" t="s">
        <v>173</v>
      </c>
      <c r="B60" t="s">
        <v>36</v>
      </c>
      <c r="C60" s="91">
        <v>4</v>
      </c>
      <c r="D60" t="s">
        <v>189</v>
      </c>
      <c r="E60" t="str">
        <f>IF(ISNUMBER(SEARCH("Incentive",D60)),"Incentive 1:25",IF(ISNUMBER(SEARCH("Foil",D60)),"Foil Variant",IF(OR(ISNUMBER(SEARCH("Annual",A60)),ISNUMBER(SEARCH("Special",A60))),"Annual/Special",IF(ISNUMBER(SEARCH("Printing",D60)),"Later Printing",IF(ISNUMBER(SEARCH("Regular",D60)),"Regular","Variant")))))</f>
        <v>Regular</v>
      </c>
      <c r="F60" s="91">
        <v>2025</v>
      </c>
      <c r="G60" t="s">
        <v>444</v>
      </c>
      <c r="H60" s="90">
        <f>IF(F60&gt;=Assumptions!$B$13,INDEX(Assumptions!$C$5:$C$10,MATCH(E60,Assumptions!$A$5:$A$10,0)),INDEX(Assumptions!$B$5:$B$10,MATCH(E60,Assumptions!$A$5:$A$10,0)))</f>
        <v>4.99</v>
      </c>
      <c r="I60" s="90">
        <f>H60</f>
        <v>4.99</v>
      </c>
      <c r="J60" s="80">
        <f>INDEX(Assumptions!$D$5:$D$10,MATCH(E60,Assumptions!$A$5:$A$10,0))*IF(C60=1,Assumptions!$B$12,1)</f>
        <v>1.4</v>
      </c>
      <c r="K60" s="90">
        <f>IF(M60&lt;&gt;"",M60,H60*J60)</f>
        <v>6.9859999999999998</v>
      </c>
      <c r="L60" s="90">
        <f>K60-I60</f>
        <v>1.9959999999999996</v>
      </c>
      <c r="M60" s="115"/>
    </row>
    <row r="61" spans="1:15" x14ac:dyDescent="0.2">
      <c r="A61" t="s">
        <v>173</v>
      </c>
      <c r="B61" t="s">
        <v>193</v>
      </c>
      <c r="C61" s="91">
        <v>5</v>
      </c>
      <c r="D61" t="s">
        <v>194</v>
      </c>
      <c r="E61" t="str">
        <f>IF(ISNUMBER(SEARCH("Incentive",D61)),"Incentive 1:25",IF(ISNUMBER(SEARCH("Foil",D61)),"Foil Variant",IF(OR(ISNUMBER(SEARCH("Annual",A61)),ISNUMBER(SEARCH("Special",A61))),"Annual/Special",IF(ISNUMBER(SEARCH("Printing",D61)),"Later Printing",IF(ISNUMBER(SEARCH("Regular",D61)),"Regular","Variant")))))</f>
        <v>Variant</v>
      </c>
      <c r="F61" s="91">
        <v>2025</v>
      </c>
      <c r="G61" t="s">
        <v>444</v>
      </c>
      <c r="H61" s="90">
        <f>IF(F61&gt;=Assumptions!$B$13,INDEX(Assumptions!$C$5:$C$10,MATCH(E61,Assumptions!$A$5:$A$10,0)),INDEX(Assumptions!$B$5:$B$10,MATCH(E61,Assumptions!$A$5:$A$10,0)))</f>
        <v>4.99</v>
      </c>
      <c r="I61" s="90">
        <f>H61</f>
        <v>4.99</v>
      </c>
      <c r="J61" s="80">
        <f>INDEX(Assumptions!$D$5:$D$10,MATCH(E61,Assumptions!$A$5:$A$10,0))*IF(C61=1,Assumptions!$B$12,1)</f>
        <v>1.8</v>
      </c>
      <c r="K61" s="90">
        <f>IF(M61&lt;&gt;"",M61,H61*J61)</f>
        <v>8.9820000000000011</v>
      </c>
      <c r="L61" s="90">
        <f>K61-I61</f>
        <v>3.9920000000000009</v>
      </c>
      <c r="M61" s="115"/>
    </row>
    <row r="62" spans="1:15" x14ac:dyDescent="0.2">
      <c r="A62" t="s">
        <v>173</v>
      </c>
      <c r="B62" t="s">
        <v>136</v>
      </c>
      <c r="C62" s="91">
        <v>6</v>
      </c>
      <c r="D62" t="s">
        <v>198</v>
      </c>
      <c r="E62" t="str">
        <f>IF(ISNUMBER(SEARCH("Incentive",D62)),"Incentive 1:25",IF(ISNUMBER(SEARCH("Foil",D62)),"Foil Variant",IF(OR(ISNUMBER(SEARCH("Annual",A62)),ISNUMBER(SEARCH("Special",A62))),"Annual/Special",IF(ISNUMBER(SEARCH("Printing",D62)),"Later Printing",IF(ISNUMBER(SEARCH("Regular",D62)),"Regular","Variant")))))</f>
        <v>Variant</v>
      </c>
      <c r="F62" s="91">
        <v>2025</v>
      </c>
      <c r="G62" t="s">
        <v>444</v>
      </c>
      <c r="H62" s="90">
        <f>IF(F62&gt;=Assumptions!$B$13,INDEX(Assumptions!$C$5:$C$10,MATCH(E62,Assumptions!$A$5:$A$10,0)),INDEX(Assumptions!$B$5:$B$10,MATCH(E62,Assumptions!$A$5:$A$10,0)))</f>
        <v>4.99</v>
      </c>
      <c r="I62" s="90">
        <f>H62</f>
        <v>4.99</v>
      </c>
      <c r="J62" s="80">
        <f>INDEX(Assumptions!$D$5:$D$10,MATCH(E62,Assumptions!$A$5:$A$10,0))*IF(C62=1,Assumptions!$B$12,1)</f>
        <v>1.8</v>
      </c>
      <c r="K62" s="90">
        <f>IF(M62&lt;&gt;"",M62,H62*J62)</f>
        <v>8.9820000000000011</v>
      </c>
      <c r="L62" s="90">
        <f>K62-I62</f>
        <v>3.9920000000000009</v>
      </c>
      <c r="M62" s="115"/>
    </row>
    <row r="63" spans="1:15" x14ac:dyDescent="0.2">
      <c r="A63" t="s">
        <v>173</v>
      </c>
      <c r="B63" t="s">
        <v>110</v>
      </c>
      <c r="C63" s="91">
        <v>7</v>
      </c>
      <c r="D63" t="s">
        <v>189</v>
      </c>
      <c r="E63" t="str">
        <f>IF(ISNUMBER(SEARCH("Incentive",D63)),"Incentive 1:25",IF(ISNUMBER(SEARCH("Foil",D63)),"Foil Variant",IF(OR(ISNUMBER(SEARCH("Annual",A63)),ISNUMBER(SEARCH("Special",A63))),"Annual/Special",IF(ISNUMBER(SEARCH("Printing",D63)),"Later Printing",IF(ISNUMBER(SEARCH("Regular",D63)),"Regular","Variant")))))</f>
        <v>Regular</v>
      </c>
      <c r="F63" s="91">
        <v>2025</v>
      </c>
      <c r="G63" t="s">
        <v>444</v>
      </c>
      <c r="H63" s="90">
        <f>IF(F63&gt;=Assumptions!$B$13,INDEX(Assumptions!$C$5:$C$10,MATCH(E63,Assumptions!$A$5:$A$10,0)),INDEX(Assumptions!$B$5:$B$10,MATCH(E63,Assumptions!$A$5:$A$10,0)))</f>
        <v>4.99</v>
      </c>
      <c r="I63" s="90">
        <f>H63</f>
        <v>4.99</v>
      </c>
      <c r="J63" s="80">
        <f>INDEX(Assumptions!$D$5:$D$10,MATCH(E63,Assumptions!$A$5:$A$10,0))*IF(C63=1,Assumptions!$B$12,1)</f>
        <v>1.4</v>
      </c>
      <c r="K63" s="90">
        <f>IF(M63&lt;&gt;"",M63,H63*J63)</f>
        <v>6.9859999999999998</v>
      </c>
      <c r="L63" s="90">
        <f>K63-I63</f>
        <v>1.9959999999999996</v>
      </c>
      <c r="M63" s="115"/>
    </row>
    <row r="64" spans="1:15" x14ac:dyDescent="0.2">
      <c r="A64" t="s">
        <v>173</v>
      </c>
      <c r="B64" t="s">
        <v>206</v>
      </c>
      <c r="C64" s="91">
        <v>8</v>
      </c>
      <c r="D64" t="s">
        <v>207</v>
      </c>
      <c r="E64" t="str">
        <f>IF(ISNUMBER(SEARCH("Incentive",D64)),"Incentive 1:25",IF(ISNUMBER(SEARCH("Foil",D64)),"Foil Variant",IF(OR(ISNUMBER(SEARCH("Annual",A64)),ISNUMBER(SEARCH("Special",A64))),"Annual/Special",IF(ISNUMBER(SEARCH("Printing",D64)),"Later Printing",IF(ISNUMBER(SEARCH("Regular",D64)),"Regular","Variant")))))</f>
        <v>Later Printing</v>
      </c>
      <c r="F64" s="91">
        <v>2025</v>
      </c>
      <c r="G64" t="s">
        <v>444</v>
      </c>
      <c r="H64" s="90">
        <f>IF(F64&gt;=Assumptions!$B$13,INDEX(Assumptions!$C$5:$C$10,MATCH(E64,Assumptions!$A$5:$A$10,0)),INDEX(Assumptions!$B$5:$B$10,MATCH(E64,Assumptions!$A$5:$A$10,0)))</f>
        <v>4.99</v>
      </c>
      <c r="I64" s="90">
        <f>H64</f>
        <v>4.99</v>
      </c>
      <c r="J64" s="80">
        <f>INDEX(Assumptions!$D$5:$D$10,MATCH(E64,Assumptions!$A$5:$A$10,0))*IF(C64=1,Assumptions!$B$12,1)</f>
        <v>1.2</v>
      </c>
      <c r="K64" s="90">
        <f>IF(M64&lt;&gt;"",M64,H64*J64)</f>
        <v>5.9880000000000004</v>
      </c>
      <c r="L64" s="90">
        <f>K64-I64</f>
        <v>0.99800000000000022</v>
      </c>
      <c r="M64" s="115"/>
    </row>
    <row r="65" spans="1:15" x14ac:dyDescent="0.2">
      <c r="A65" t="s">
        <v>173</v>
      </c>
      <c r="B65" t="s">
        <v>210</v>
      </c>
      <c r="C65" s="91">
        <v>9</v>
      </c>
      <c r="D65" t="s">
        <v>207</v>
      </c>
      <c r="E65" t="str">
        <f>IF(ISNUMBER(SEARCH("Incentive",D65)),"Incentive 1:25",IF(ISNUMBER(SEARCH("Foil",D65)),"Foil Variant",IF(OR(ISNUMBER(SEARCH("Annual",A65)),ISNUMBER(SEARCH("Special",A65))),"Annual/Special",IF(ISNUMBER(SEARCH("Printing",D65)),"Later Printing",IF(ISNUMBER(SEARCH("Regular",D65)),"Regular","Variant")))))</f>
        <v>Later Printing</v>
      </c>
      <c r="F65" s="91">
        <v>2025</v>
      </c>
      <c r="G65" t="s">
        <v>444</v>
      </c>
      <c r="H65" s="90">
        <f>IF(F65&gt;=Assumptions!$B$13,INDEX(Assumptions!$C$5:$C$10,MATCH(E65,Assumptions!$A$5:$A$10,0)),INDEX(Assumptions!$B$5:$B$10,MATCH(E65,Assumptions!$A$5:$A$10,0)))</f>
        <v>4.99</v>
      </c>
      <c r="I65" s="90">
        <f>H65</f>
        <v>4.99</v>
      </c>
      <c r="J65" s="80">
        <f>INDEX(Assumptions!$D$5:$D$10,MATCH(E65,Assumptions!$A$5:$A$10,0))*IF(C65=1,Assumptions!$B$12,1)</f>
        <v>1.2</v>
      </c>
      <c r="K65" s="90">
        <f>IF(M65&lt;&gt;"",M65,H65*J65)</f>
        <v>5.9880000000000004</v>
      </c>
      <c r="L65" s="90">
        <f>K65-I65</f>
        <v>0.99800000000000022</v>
      </c>
      <c r="M65" s="115"/>
    </row>
    <row r="66" spans="1:15" x14ac:dyDescent="0.2">
      <c r="A66" t="s">
        <v>173</v>
      </c>
      <c r="B66" t="s">
        <v>213</v>
      </c>
      <c r="C66" s="91">
        <v>10</v>
      </c>
      <c r="D66" t="s">
        <v>207</v>
      </c>
      <c r="E66" t="str">
        <f>IF(ISNUMBER(SEARCH("Incentive",D66)),"Incentive 1:25",IF(ISNUMBER(SEARCH("Foil",D66)),"Foil Variant",IF(OR(ISNUMBER(SEARCH("Annual",A66)),ISNUMBER(SEARCH("Special",A66))),"Annual/Special",IF(ISNUMBER(SEARCH("Printing",D66)),"Later Printing",IF(ISNUMBER(SEARCH("Regular",D66)),"Regular","Variant")))))</f>
        <v>Later Printing</v>
      </c>
      <c r="F66" s="91">
        <v>2025</v>
      </c>
      <c r="G66" t="s">
        <v>444</v>
      </c>
      <c r="H66" s="90">
        <f>IF(F66&gt;=Assumptions!$B$13,INDEX(Assumptions!$C$5:$C$10,MATCH(E66,Assumptions!$A$5:$A$10,0)),INDEX(Assumptions!$B$5:$B$10,MATCH(E66,Assumptions!$A$5:$A$10,0)))</f>
        <v>4.99</v>
      </c>
      <c r="I66" s="90">
        <f>H66</f>
        <v>4.99</v>
      </c>
      <c r="J66" s="80">
        <f>INDEX(Assumptions!$D$5:$D$10,MATCH(E66,Assumptions!$A$5:$A$10,0))*IF(C66=1,Assumptions!$B$12,1)</f>
        <v>1.2</v>
      </c>
      <c r="K66" s="90">
        <f>IF(M66&lt;&gt;"",M66,H66*J66)</f>
        <v>5.9880000000000004</v>
      </c>
      <c r="L66" s="90">
        <f>K66-I66</f>
        <v>0.99800000000000022</v>
      </c>
      <c r="M66" s="115"/>
    </row>
    <row r="67" spans="1:15" x14ac:dyDescent="0.2">
      <c r="A67" t="s">
        <v>173</v>
      </c>
      <c r="B67" t="s">
        <v>111</v>
      </c>
      <c r="C67" s="91">
        <v>11</v>
      </c>
      <c r="D67" t="s">
        <v>216</v>
      </c>
      <c r="E67" t="str">
        <f>IF(ISNUMBER(SEARCH("Incentive",D67)),"Incentive 1:25",IF(ISNUMBER(SEARCH("Foil",D67)),"Foil Variant",IF(OR(ISNUMBER(SEARCH("Annual",A67)),ISNUMBER(SEARCH("Special",A67))),"Annual/Special",IF(ISNUMBER(SEARCH("Printing",D67)),"Later Printing",IF(ISNUMBER(SEARCH("Regular",D67)),"Regular","Variant")))))</f>
        <v>Variant</v>
      </c>
      <c r="F67" s="91">
        <v>2025</v>
      </c>
      <c r="G67" t="s">
        <v>444</v>
      </c>
      <c r="H67" s="90">
        <f>IF(F67&gt;=Assumptions!$B$13,INDEX(Assumptions!$C$5:$C$10,MATCH(E67,Assumptions!$A$5:$A$10,0)),INDEX(Assumptions!$B$5:$B$10,MATCH(E67,Assumptions!$A$5:$A$10,0)))</f>
        <v>4.99</v>
      </c>
      <c r="I67" s="90">
        <f>H67</f>
        <v>4.99</v>
      </c>
      <c r="J67" s="80">
        <f>INDEX(Assumptions!$D$5:$D$10,MATCH(E67,Assumptions!$A$5:$A$10,0))*IF(C67=1,Assumptions!$B$12,1)</f>
        <v>1.8</v>
      </c>
      <c r="K67" s="90">
        <f>IF(M67&lt;&gt;"",M67,H67*J67)</f>
        <v>8.9820000000000011</v>
      </c>
      <c r="L67" s="90">
        <f>K67-I67</f>
        <v>3.9920000000000009</v>
      </c>
      <c r="M67" s="115"/>
    </row>
    <row r="68" spans="1:15" x14ac:dyDescent="0.2">
      <c r="A68" t="s">
        <v>173</v>
      </c>
      <c r="B68" t="s">
        <v>118</v>
      </c>
      <c r="C68" s="91">
        <v>17</v>
      </c>
      <c r="D68" t="s">
        <v>219</v>
      </c>
      <c r="E68" t="str">
        <f>IF(ISNUMBER(SEARCH("Incentive",D68)),"Incentive 1:25",IF(ISNUMBER(SEARCH("Foil",D68)),"Foil Variant",IF(OR(ISNUMBER(SEARCH("Annual",A68)),ISNUMBER(SEARCH("Special",A68))),"Annual/Special",IF(ISNUMBER(SEARCH("Printing",D68)),"Later Printing",IF(ISNUMBER(SEARCH("Regular",D68)),"Regular","Variant")))))</f>
        <v>Variant</v>
      </c>
      <c r="F68" s="91">
        <v>2026</v>
      </c>
      <c r="G68" t="s">
        <v>444</v>
      </c>
      <c r="H68" s="90">
        <f>IF(F68&gt;=Assumptions!$B$13,INDEX(Assumptions!$C$5:$C$10,MATCH(E68,Assumptions!$A$5:$A$10,0)),INDEX(Assumptions!$B$5:$B$10,MATCH(E68,Assumptions!$A$5:$A$10,0)))</f>
        <v>5.99</v>
      </c>
      <c r="I68" s="90">
        <f>H68</f>
        <v>5.99</v>
      </c>
      <c r="J68" s="80">
        <f>INDEX(Assumptions!$D$5:$D$10,MATCH(E68,Assumptions!$A$5:$A$10,0))*IF(C68=1,Assumptions!$B$12,1)</f>
        <v>1.8</v>
      </c>
      <c r="K68" s="90">
        <f>IF(M68&lt;&gt;"",M68,H68*J68)</f>
        <v>10.782</v>
      </c>
      <c r="L68" s="90">
        <f>K68-I68</f>
        <v>4.7919999999999998</v>
      </c>
      <c r="M68" s="115"/>
    </row>
    <row r="69" spans="1:15" x14ac:dyDescent="0.2">
      <c r="A69" t="s">
        <v>173</v>
      </c>
      <c r="B69" t="s">
        <v>223</v>
      </c>
      <c r="C69" s="91">
        <v>18</v>
      </c>
      <c r="D69" t="s">
        <v>224</v>
      </c>
      <c r="E69" t="str">
        <f>IF(ISNUMBER(SEARCH("Incentive",D69)),"Incentive 1:25",IF(ISNUMBER(SEARCH("Foil",D69)),"Foil Variant",IF(OR(ISNUMBER(SEARCH("Annual",A69)),ISNUMBER(SEARCH("Special",A69))),"Annual/Special",IF(ISNUMBER(SEARCH("Printing",D69)),"Later Printing",IF(ISNUMBER(SEARCH("Regular",D69)),"Regular","Variant")))))</f>
        <v>Variant</v>
      </c>
      <c r="F69" s="91">
        <v>2026</v>
      </c>
      <c r="G69" t="s">
        <v>444</v>
      </c>
      <c r="H69" s="90">
        <f>IF(F69&gt;=Assumptions!$B$13,INDEX(Assumptions!$C$5:$C$10,MATCH(E69,Assumptions!$A$5:$A$10,0)),INDEX(Assumptions!$B$5:$B$10,MATCH(E69,Assumptions!$A$5:$A$10,0)))</f>
        <v>5.99</v>
      </c>
      <c r="I69" s="90">
        <f>H69</f>
        <v>5.99</v>
      </c>
      <c r="J69" s="80">
        <f>INDEX(Assumptions!$D$5:$D$10,MATCH(E69,Assumptions!$A$5:$A$10,0))*IF(C69=1,Assumptions!$B$12,1)</f>
        <v>1.8</v>
      </c>
      <c r="K69" s="90">
        <f>IF(M69&lt;&gt;"",M69,H69*J69)</f>
        <v>10.782</v>
      </c>
      <c r="L69" s="90">
        <f>K69-I69</f>
        <v>4.7919999999999998</v>
      </c>
      <c r="M69" s="115"/>
    </row>
    <row r="70" spans="1:15" x14ac:dyDescent="0.2">
      <c r="A70" t="s">
        <v>173</v>
      </c>
      <c r="B70" t="s">
        <v>228</v>
      </c>
      <c r="C70" s="91">
        <v>20</v>
      </c>
      <c r="D70" t="s">
        <v>229</v>
      </c>
      <c r="E70" t="str">
        <f>IF(ISNUMBER(SEARCH("Incentive",D70)),"Incentive 1:25",IF(ISNUMBER(SEARCH("Foil",D70)),"Foil Variant",IF(OR(ISNUMBER(SEARCH("Annual",A70)),ISNUMBER(SEARCH("Special",A70))),"Annual/Special",IF(ISNUMBER(SEARCH("Printing",D70)),"Later Printing",IF(ISNUMBER(SEARCH("Regular",D70)),"Regular","Variant")))))</f>
        <v>Variant</v>
      </c>
      <c r="F70" s="91">
        <v>2026</v>
      </c>
      <c r="G70" t="s">
        <v>444</v>
      </c>
      <c r="H70" s="90">
        <f>IF(F70&gt;=Assumptions!$B$13,INDEX(Assumptions!$C$5:$C$10,MATCH(E70,Assumptions!$A$5:$A$10,0)),INDEX(Assumptions!$B$5:$B$10,MATCH(E70,Assumptions!$A$5:$A$10,0)))</f>
        <v>5.99</v>
      </c>
      <c r="I70" s="90">
        <f>H70</f>
        <v>5.99</v>
      </c>
      <c r="J70" s="80">
        <f>INDEX(Assumptions!$D$5:$D$10,MATCH(E70,Assumptions!$A$5:$A$10,0))*IF(C70=1,Assumptions!$B$12,1)</f>
        <v>1.8</v>
      </c>
      <c r="K70" s="90">
        <f>IF(M70&lt;&gt;"",M70,H70*J70)</f>
        <v>10.782</v>
      </c>
      <c r="L70" s="90">
        <f>K70-I70</f>
        <v>4.7919999999999998</v>
      </c>
      <c r="M70" s="115"/>
    </row>
    <row r="71" spans="1:15" x14ac:dyDescent="0.2">
      <c r="A71" t="s">
        <v>173</v>
      </c>
      <c r="B71" t="s">
        <v>232</v>
      </c>
      <c r="C71" s="91">
        <v>22</v>
      </c>
      <c r="D71" t="s">
        <v>233</v>
      </c>
      <c r="E71" t="str">
        <f>IF(ISNUMBER(SEARCH("Incentive",D71)),"Incentive 1:25",IF(ISNUMBER(SEARCH("Foil",D71)),"Foil Variant",IF(OR(ISNUMBER(SEARCH("Annual",A71)),ISNUMBER(SEARCH("Special",A71))),"Annual/Special",IF(ISNUMBER(SEARCH("Printing",D71)),"Later Printing",IF(ISNUMBER(SEARCH("Regular",D71)),"Regular","Variant")))))</f>
        <v>Variant</v>
      </c>
      <c r="F71" s="91">
        <v>2026</v>
      </c>
      <c r="G71" t="s">
        <v>444</v>
      </c>
      <c r="H71" s="90">
        <f>IF(F71&gt;=Assumptions!$B$13,INDEX(Assumptions!$C$5:$C$10,MATCH(E71,Assumptions!$A$5:$A$10,0)),INDEX(Assumptions!$B$5:$B$10,MATCH(E71,Assumptions!$A$5:$A$10,0)))</f>
        <v>5.99</v>
      </c>
      <c r="I71" s="90">
        <f>H71</f>
        <v>5.99</v>
      </c>
      <c r="J71" s="80">
        <f>INDEX(Assumptions!$D$5:$D$10,MATCH(E71,Assumptions!$A$5:$A$10,0))*IF(C71=1,Assumptions!$B$12,1)</f>
        <v>1.8</v>
      </c>
      <c r="K71" s="90">
        <f>IF(M71&lt;&gt;"",M71,H71*J71)</f>
        <v>10.782</v>
      </c>
      <c r="L71" s="90">
        <f>K71-I71</f>
        <v>4.7919999999999998</v>
      </c>
      <c r="M71" s="115"/>
    </row>
    <row r="72" spans="1:15" x14ac:dyDescent="0.2">
      <c r="A72" t="s">
        <v>173</v>
      </c>
      <c r="B72" t="s">
        <v>237</v>
      </c>
      <c r="C72" s="91">
        <v>23</v>
      </c>
      <c r="D72" t="s">
        <v>238</v>
      </c>
      <c r="E72" t="str">
        <f>IF(ISNUMBER(SEARCH("Incentive",D72)),"Incentive 1:25",IF(ISNUMBER(SEARCH("Foil",D72)),"Foil Variant",IF(OR(ISNUMBER(SEARCH("Annual",A72)),ISNUMBER(SEARCH("Special",A72))),"Annual/Special",IF(ISNUMBER(SEARCH("Printing",D72)),"Later Printing",IF(ISNUMBER(SEARCH("Regular",D72)),"Regular","Variant")))))</f>
        <v>Variant</v>
      </c>
      <c r="F72" s="91">
        <v>2026</v>
      </c>
      <c r="G72" t="s">
        <v>444</v>
      </c>
      <c r="H72" s="90">
        <f>IF(F72&gt;=Assumptions!$B$13,INDEX(Assumptions!$C$5:$C$10,MATCH(E72,Assumptions!$A$5:$A$10,0)),INDEX(Assumptions!$B$5:$B$10,MATCH(E72,Assumptions!$A$5:$A$10,0)))</f>
        <v>5.99</v>
      </c>
      <c r="I72" s="90">
        <f>H72</f>
        <v>5.99</v>
      </c>
      <c r="J72" s="80">
        <f>INDEX(Assumptions!$D$5:$D$10,MATCH(E72,Assumptions!$A$5:$A$10,0))*IF(C72=1,Assumptions!$B$12,1)</f>
        <v>1.8</v>
      </c>
      <c r="K72" s="90">
        <f>IF(M72&lt;&gt;"",M72,H72*J72)</f>
        <v>10.782</v>
      </c>
      <c r="L72" s="90">
        <f>K72-I72</f>
        <v>4.7919999999999998</v>
      </c>
      <c r="M72" s="115"/>
    </row>
    <row r="73" spans="1:15" x14ac:dyDescent="0.2">
      <c r="A73" t="s">
        <v>242</v>
      </c>
      <c r="B73" t="s">
        <v>243</v>
      </c>
      <c r="C73" s="91">
        <v>1</v>
      </c>
      <c r="D73" t="s">
        <v>244</v>
      </c>
      <c r="E73" t="str">
        <f>IF(ISNUMBER(SEARCH("Incentive",D73)),"Incentive 1:25",IF(ISNUMBER(SEARCH("Foil",D73)),"Foil Variant",IF(OR(ISNUMBER(SEARCH("Annual",A73)),ISNUMBER(SEARCH("Special",A73))),"Annual/Special",IF(ISNUMBER(SEARCH("Printing",D73)),"Later Printing",IF(ISNUMBER(SEARCH("Regular",D73)),"Regular","Variant")))))</f>
        <v>Later Printing</v>
      </c>
      <c r="F73" s="91">
        <v>2024</v>
      </c>
      <c r="G73" t="s">
        <v>444</v>
      </c>
      <c r="H73" s="90">
        <f>IF(F73&gt;=Assumptions!$B$13,INDEX(Assumptions!$C$5:$C$10,MATCH(E73,Assumptions!$A$5:$A$10,0)),INDEX(Assumptions!$B$5:$B$10,MATCH(E73,Assumptions!$A$5:$A$10,0)))</f>
        <v>4.99</v>
      </c>
      <c r="I73" s="90">
        <f>H73</f>
        <v>4.99</v>
      </c>
      <c r="J73" s="80">
        <f>INDEX(Assumptions!$D$5:$D$10,MATCH(E73,Assumptions!$A$5:$A$10,0))*IF(C73=1,Assumptions!$B$12,1)</f>
        <v>2.4</v>
      </c>
      <c r="K73" s="90">
        <f>IF(M73&lt;&gt;"",M73,H73*J73)</f>
        <v>11.976000000000001</v>
      </c>
      <c r="L73" s="90">
        <f>K73-I73</f>
        <v>6.9860000000000007</v>
      </c>
      <c r="M73" s="115"/>
      <c r="O73" t="s">
        <v>494</v>
      </c>
    </row>
    <row r="74" spans="1:15" x14ac:dyDescent="0.2">
      <c r="A74" t="s">
        <v>242</v>
      </c>
      <c r="B74" t="s">
        <v>125</v>
      </c>
      <c r="C74" s="91">
        <v>2</v>
      </c>
      <c r="D74" t="s">
        <v>247</v>
      </c>
      <c r="E74" t="str">
        <f>IF(ISNUMBER(SEARCH("Incentive",D74)),"Incentive 1:25",IF(ISNUMBER(SEARCH("Foil",D74)),"Foil Variant",IF(OR(ISNUMBER(SEARCH("Annual",A74)),ISNUMBER(SEARCH("Special",A74))),"Annual/Special",IF(ISNUMBER(SEARCH("Printing",D74)),"Later Printing",IF(ISNUMBER(SEARCH("Regular",D74)),"Regular","Variant")))))</f>
        <v>Regular</v>
      </c>
      <c r="F74" s="91">
        <v>2024</v>
      </c>
      <c r="G74" t="s">
        <v>444</v>
      </c>
      <c r="H74" s="90">
        <f>IF(F74&gt;=Assumptions!$B$13,INDEX(Assumptions!$C$5:$C$10,MATCH(E74,Assumptions!$A$5:$A$10,0)),INDEX(Assumptions!$B$5:$B$10,MATCH(E74,Assumptions!$A$5:$A$10,0)))</f>
        <v>4.99</v>
      </c>
      <c r="I74" s="90">
        <f>H74</f>
        <v>4.99</v>
      </c>
      <c r="J74" s="80">
        <f>INDEX(Assumptions!$D$5:$D$10,MATCH(E74,Assumptions!$A$5:$A$10,0))*IF(C74=1,Assumptions!$B$12,1)</f>
        <v>1.4</v>
      </c>
      <c r="K74" s="90">
        <f>IF(M74&lt;&gt;"",M74,H74*J74)</f>
        <v>6.9859999999999998</v>
      </c>
      <c r="L74" s="90">
        <f>K74-I74</f>
        <v>1.9959999999999996</v>
      </c>
      <c r="M74" s="115"/>
    </row>
    <row r="75" spans="1:15" x14ac:dyDescent="0.2">
      <c r="A75" t="s">
        <v>242</v>
      </c>
      <c r="B75" t="s">
        <v>87</v>
      </c>
      <c r="C75" s="91">
        <v>3</v>
      </c>
      <c r="D75" t="s">
        <v>247</v>
      </c>
      <c r="E75" t="str">
        <f>IF(ISNUMBER(SEARCH("Incentive",D75)),"Incentive 1:25",IF(ISNUMBER(SEARCH("Foil",D75)),"Foil Variant",IF(OR(ISNUMBER(SEARCH("Annual",A75)),ISNUMBER(SEARCH("Special",A75))),"Annual/Special",IF(ISNUMBER(SEARCH("Printing",D75)),"Later Printing",IF(ISNUMBER(SEARCH("Regular",D75)),"Regular","Variant")))))</f>
        <v>Regular</v>
      </c>
      <c r="F75" s="91">
        <v>2024</v>
      </c>
      <c r="G75" t="s">
        <v>444</v>
      </c>
      <c r="H75" s="90">
        <f>IF(F75&gt;=Assumptions!$B$13,INDEX(Assumptions!$C$5:$C$10,MATCH(E75,Assumptions!$A$5:$A$10,0)),INDEX(Assumptions!$B$5:$B$10,MATCH(E75,Assumptions!$A$5:$A$10,0)))</f>
        <v>4.99</v>
      </c>
      <c r="I75" s="90">
        <f>H75</f>
        <v>4.99</v>
      </c>
      <c r="J75" s="80">
        <f>INDEX(Assumptions!$D$5:$D$10,MATCH(E75,Assumptions!$A$5:$A$10,0))*IF(C75=1,Assumptions!$B$12,1)</f>
        <v>1.4</v>
      </c>
      <c r="K75" s="90">
        <f>IF(M75&lt;&gt;"",M75,H75*J75)</f>
        <v>6.9859999999999998</v>
      </c>
      <c r="L75" s="90">
        <f>K75-I75</f>
        <v>1.9959999999999996</v>
      </c>
      <c r="M75" s="115"/>
    </row>
    <row r="76" spans="1:15" x14ac:dyDescent="0.2">
      <c r="A76" t="s">
        <v>242</v>
      </c>
      <c r="B76" t="s">
        <v>248</v>
      </c>
      <c r="C76" s="91">
        <v>4</v>
      </c>
      <c r="D76" t="s">
        <v>249</v>
      </c>
      <c r="E76" t="str">
        <f>IF(ISNUMBER(SEARCH("Incentive",D76)),"Incentive 1:25",IF(ISNUMBER(SEARCH("Foil",D76)),"Foil Variant",IF(OR(ISNUMBER(SEARCH("Annual",A76)),ISNUMBER(SEARCH("Special",A76))),"Annual/Special",IF(ISNUMBER(SEARCH("Printing",D76)),"Later Printing",IF(ISNUMBER(SEARCH("Regular",D76)),"Regular","Variant")))))</f>
        <v>Variant</v>
      </c>
      <c r="F76" s="91">
        <v>2025</v>
      </c>
      <c r="G76" t="s">
        <v>444</v>
      </c>
      <c r="H76" s="90">
        <f>IF(F76&gt;=Assumptions!$B$13,INDEX(Assumptions!$C$5:$C$10,MATCH(E76,Assumptions!$A$5:$A$10,0)),INDEX(Assumptions!$B$5:$B$10,MATCH(E76,Assumptions!$A$5:$A$10,0)))</f>
        <v>4.99</v>
      </c>
      <c r="I76" s="90">
        <f>H76</f>
        <v>4.99</v>
      </c>
      <c r="J76" s="80">
        <f>INDEX(Assumptions!$D$5:$D$10,MATCH(E76,Assumptions!$A$5:$A$10,0))*IF(C76=1,Assumptions!$B$12,1)</f>
        <v>1.8</v>
      </c>
      <c r="K76" s="90">
        <f>IF(M76&lt;&gt;"",M76,H76*J76)</f>
        <v>8.9820000000000011</v>
      </c>
      <c r="L76" s="90">
        <f>K76-I76</f>
        <v>3.9920000000000009</v>
      </c>
      <c r="M76" s="115"/>
    </row>
    <row r="77" spans="1:15" x14ac:dyDescent="0.2">
      <c r="A77" t="s">
        <v>242</v>
      </c>
      <c r="B77" t="s">
        <v>193</v>
      </c>
      <c r="C77" s="91">
        <v>5</v>
      </c>
      <c r="D77" t="s">
        <v>250</v>
      </c>
      <c r="E77" t="str">
        <f>IF(ISNUMBER(SEARCH("Incentive",D77)),"Incentive 1:25",IF(ISNUMBER(SEARCH("Foil",D77)),"Foil Variant",IF(OR(ISNUMBER(SEARCH("Annual",A77)),ISNUMBER(SEARCH("Special",A77))),"Annual/Special",IF(ISNUMBER(SEARCH("Printing",D77)),"Later Printing",IF(ISNUMBER(SEARCH("Regular",D77)),"Regular","Variant")))))</f>
        <v>Variant</v>
      </c>
      <c r="F77" s="91">
        <v>2025</v>
      </c>
      <c r="G77" t="s">
        <v>444</v>
      </c>
      <c r="H77" s="90">
        <f>IF(F77&gt;=Assumptions!$B$13,INDEX(Assumptions!$C$5:$C$10,MATCH(E77,Assumptions!$A$5:$A$10,0)),INDEX(Assumptions!$B$5:$B$10,MATCH(E77,Assumptions!$A$5:$A$10,0)))</f>
        <v>4.99</v>
      </c>
      <c r="I77" s="90">
        <f>H77</f>
        <v>4.99</v>
      </c>
      <c r="J77" s="80">
        <f>INDEX(Assumptions!$D$5:$D$10,MATCH(E77,Assumptions!$A$5:$A$10,0))*IF(C77=1,Assumptions!$B$12,1)</f>
        <v>1.8</v>
      </c>
      <c r="K77" s="90">
        <f>IF(M77&lt;&gt;"",M77,H77*J77)</f>
        <v>8.9820000000000011</v>
      </c>
      <c r="L77" s="90">
        <f>K77-I77</f>
        <v>3.9920000000000009</v>
      </c>
      <c r="M77" s="115"/>
    </row>
    <row r="78" spans="1:15" x14ac:dyDescent="0.2">
      <c r="A78" t="s">
        <v>242</v>
      </c>
      <c r="B78" t="s">
        <v>39</v>
      </c>
      <c r="C78" s="91">
        <v>6</v>
      </c>
      <c r="D78" t="s">
        <v>251</v>
      </c>
      <c r="E78" t="str">
        <f>IF(ISNUMBER(SEARCH("Incentive",D78)),"Incentive 1:25",IF(ISNUMBER(SEARCH("Foil",D78)),"Foil Variant",IF(OR(ISNUMBER(SEARCH("Annual",A78)),ISNUMBER(SEARCH("Special",A78))),"Annual/Special",IF(ISNUMBER(SEARCH("Printing",D78)),"Later Printing",IF(ISNUMBER(SEARCH("Regular",D78)),"Regular","Variant")))))</f>
        <v>Variant</v>
      </c>
      <c r="F78" s="91">
        <v>2025</v>
      </c>
      <c r="G78" t="s">
        <v>444</v>
      </c>
      <c r="H78" s="90">
        <f>IF(F78&gt;=Assumptions!$B$13,INDEX(Assumptions!$C$5:$C$10,MATCH(E78,Assumptions!$A$5:$A$10,0)),INDEX(Assumptions!$B$5:$B$10,MATCH(E78,Assumptions!$A$5:$A$10,0)))</f>
        <v>4.99</v>
      </c>
      <c r="I78" s="90">
        <f>H78</f>
        <v>4.99</v>
      </c>
      <c r="J78" s="80">
        <f>INDEX(Assumptions!$D$5:$D$10,MATCH(E78,Assumptions!$A$5:$A$10,0))*IF(C78=1,Assumptions!$B$12,1)</f>
        <v>1.8</v>
      </c>
      <c r="K78" s="90">
        <f>IF(M78&lt;&gt;"",M78,H78*J78)</f>
        <v>8.9820000000000011</v>
      </c>
      <c r="L78" s="90">
        <f>K78-I78</f>
        <v>3.9920000000000009</v>
      </c>
      <c r="M78" s="115"/>
    </row>
    <row r="79" spans="1:15" x14ac:dyDescent="0.2">
      <c r="A79" t="s">
        <v>242</v>
      </c>
      <c r="B79" t="s">
        <v>110</v>
      </c>
      <c r="C79" s="91">
        <v>7</v>
      </c>
      <c r="D79" t="s">
        <v>247</v>
      </c>
      <c r="E79" t="str">
        <f>IF(ISNUMBER(SEARCH("Incentive",D79)),"Incentive 1:25",IF(ISNUMBER(SEARCH("Foil",D79)),"Foil Variant",IF(OR(ISNUMBER(SEARCH("Annual",A79)),ISNUMBER(SEARCH("Special",A79))),"Annual/Special",IF(ISNUMBER(SEARCH("Printing",D79)),"Later Printing",IF(ISNUMBER(SEARCH("Regular",D79)),"Regular","Variant")))))</f>
        <v>Regular</v>
      </c>
      <c r="F79" s="91">
        <v>2025</v>
      </c>
      <c r="G79" t="s">
        <v>444</v>
      </c>
      <c r="H79" s="90">
        <f>IF(F79&gt;=Assumptions!$B$13,INDEX(Assumptions!$C$5:$C$10,MATCH(E79,Assumptions!$A$5:$A$10,0)),INDEX(Assumptions!$B$5:$B$10,MATCH(E79,Assumptions!$A$5:$A$10,0)))</f>
        <v>4.99</v>
      </c>
      <c r="I79" s="90">
        <f>H79</f>
        <v>4.99</v>
      </c>
      <c r="J79" s="80">
        <f>INDEX(Assumptions!$D$5:$D$10,MATCH(E79,Assumptions!$A$5:$A$10,0))*IF(C79=1,Assumptions!$B$12,1)</f>
        <v>1.4</v>
      </c>
      <c r="K79" s="90">
        <f>IF(M79&lt;&gt;"",M79,H79*J79)</f>
        <v>6.9859999999999998</v>
      </c>
      <c r="L79" s="90">
        <f>K79-I79</f>
        <v>1.9959999999999996</v>
      </c>
      <c r="M79" s="115"/>
    </row>
    <row r="80" spans="1:15" x14ac:dyDescent="0.2">
      <c r="A80" t="s">
        <v>242</v>
      </c>
      <c r="B80" t="s">
        <v>206</v>
      </c>
      <c r="C80" s="91">
        <v>8</v>
      </c>
      <c r="D80" t="s">
        <v>244</v>
      </c>
      <c r="E80" t="str">
        <f>IF(ISNUMBER(SEARCH("Incentive",D80)),"Incentive 1:25",IF(ISNUMBER(SEARCH("Foil",D80)),"Foil Variant",IF(OR(ISNUMBER(SEARCH("Annual",A80)),ISNUMBER(SEARCH("Special",A80))),"Annual/Special",IF(ISNUMBER(SEARCH("Printing",D80)),"Later Printing",IF(ISNUMBER(SEARCH("Regular",D80)),"Regular","Variant")))))</f>
        <v>Later Printing</v>
      </c>
      <c r="F80" s="91">
        <v>2025</v>
      </c>
      <c r="G80" t="s">
        <v>444</v>
      </c>
      <c r="H80" s="90">
        <f>IF(F80&gt;=Assumptions!$B$13,INDEX(Assumptions!$C$5:$C$10,MATCH(E80,Assumptions!$A$5:$A$10,0)),INDEX(Assumptions!$B$5:$B$10,MATCH(E80,Assumptions!$A$5:$A$10,0)))</f>
        <v>4.99</v>
      </c>
      <c r="I80" s="90">
        <f>H80</f>
        <v>4.99</v>
      </c>
      <c r="J80" s="80">
        <f>INDEX(Assumptions!$D$5:$D$10,MATCH(E80,Assumptions!$A$5:$A$10,0))*IF(C80=1,Assumptions!$B$12,1)</f>
        <v>1.2</v>
      </c>
      <c r="K80" s="90">
        <f>IF(M80&lt;&gt;"",M80,H80*J80)</f>
        <v>5.9880000000000004</v>
      </c>
      <c r="L80" s="90">
        <f>K80-I80</f>
        <v>0.99800000000000022</v>
      </c>
      <c r="M80" s="115"/>
    </row>
    <row r="81" spans="1:13" x14ac:dyDescent="0.2">
      <c r="A81" t="s">
        <v>242</v>
      </c>
      <c r="B81" t="s">
        <v>47</v>
      </c>
      <c r="C81" s="91">
        <v>9</v>
      </c>
      <c r="D81" t="s">
        <v>247</v>
      </c>
      <c r="E81" t="str">
        <f>IF(ISNUMBER(SEARCH("Incentive",D81)),"Incentive 1:25",IF(ISNUMBER(SEARCH("Foil",D81)),"Foil Variant",IF(OR(ISNUMBER(SEARCH("Annual",A81)),ISNUMBER(SEARCH("Special",A81))),"Annual/Special",IF(ISNUMBER(SEARCH("Printing",D81)),"Later Printing",IF(ISNUMBER(SEARCH("Regular",D81)),"Regular","Variant")))))</f>
        <v>Regular</v>
      </c>
      <c r="F81" s="91">
        <v>2025</v>
      </c>
      <c r="G81" t="s">
        <v>444</v>
      </c>
      <c r="H81" s="90">
        <f>IF(F81&gt;=Assumptions!$B$13,INDEX(Assumptions!$C$5:$C$10,MATCH(E81,Assumptions!$A$5:$A$10,0)),INDEX(Assumptions!$B$5:$B$10,MATCH(E81,Assumptions!$A$5:$A$10,0)))</f>
        <v>4.99</v>
      </c>
      <c r="I81" s="90">
        <f>H81</f>
        <v>4.99</v>
      </c>
      <c r="J81" s="80">
        <f>INDEX(Assumptions!$D$5:$D$10,MATCH(E81,Assumptions!$A$5:$A$10,0))*IF(C81=1,Assumptions!$B$12,1)</f>
        <v>1.4</v>
      </c>
      <c r="K81" s="90">
        <f>IF(M81&lt;&gt;"",M81,H81*J81)</f>
        <v>6.9859999999999998</v>
      </c>
      <c r="L81" s="90">
        <f>K81-I81</f>
        <v>1.9959999999999996</v>
      </c>
      <c r="M81" s="115"/>
    </row>
    <row r="82" spans="1:13" x14ac:dyDescent="0.2">
      <c r="A82" t="s">
        <v>242</v>
      </c>
      <c r="B82" t="s">
        <v>254</v>
      </c>
      <c r="C82" s="91">
        <v>10</v>
      </c>
      <c r="D82" t="s">
        <v>244</v>
      </c>
      <c r="E82" t="str">
        <f>IF(ISNUMBER(SEARCH("Incentive",D82)),"Incentive 1:25",IF(ISNUMBER(SEARCH("Foil",D82)),"Foil Variant",IF(OR(ISNUMBER(SEARCH("Annual",A82)),ISNUMBER(SEARCH("Special",A82))),"Annual/Special",IF(ISNUMBER(SEARCH("Printing",D82)),"Later Printing",IF(ISNUMBER(SEARCH("Regular",D82)),"Regular","Variant")))))</f>
        <v>Later Printing</v>
      </c>
      <c r="F82" s="91">
        <v>2025</v>
      </c>
      <c r="G82" t="s">
        <v>444</v>
      </c>
      <c r="H82" s="90">
        <f>IF(F82&gt;=Assumptions!$B$13,INDEX(Assumptions!$C$5:$C$10,MATCH(E82,Assumptions!$A$5:$A$10,0)),INDEX(Assumptions!$B$5:$B$10,MATCH(E82,Assumptions!$A$5:$A$10,0)))</f>
        <v>4.99</v>
      </c>
      <c r="I82" s="90">
        <f>H82</f>
        <v>4.99</v>
      </c>
      <c r="J82" s="80">
        <f>INDEX(Assumptions!$D$5:$D$10,MATCH(E82,Assumptions!$A$5:$A$10,0))*IF(C82=1,Assumptions!$B$12,1)</f>
        <v>1.2</v>
      </c>
      <c r="K82" s="90">
        <f>IF(M82&lt;&gt;"",M82,H82*J82)</f>
        <v>5.9880000000000004</v>
      </c>
      <c r="L82" s="90">
        <f>K82-I82</f>
        <v>0.99800000000000022</v>
      </c>
      <c r="M82" s="115"/>
    </row>
    <row r="83" spans="1:13" x14ac:dyDescent="0.2">
      <c r="A83" t="s">
        <v>242</v>
      </c>
      <c r="B83" t="s">
        <v>256</v>
      </c>
      <c r="C83" s="91">
        <v>12</v>
      </c>
      <c r="D83" t="s">
        <v>257</v>
      </c>
      <c r="E83" t="str">
        <f>IF(ISNUMBER(SEARCH("Incentive",D83)),"Incentive 1:25",IF(ISNUMBER(SEARCH("Foil",D83)),"Foil Variant",IF(OR(ISNUMBER(SEARCH("Annual",A83)),ISNUMBER(SEARCH("Special",A83))),"Annual/Special",IF(ISNUMBER(SEARCH("Printing",D83)),"Later Printing",IF(ISNUMBER(SEARCH("Regular",D83)),"Regular","Variant")))))</f>
        <v>Incentive 1:25</v>
      </c>
      <c r="F83" s="91">
        <v>2025</v>
      </c>
      <c r="G83" t="s">
        <v>444</v>
      </c>
      <c r="H83" s="90">
        <f>IF(F83&gt;=Assumptions!$B$13,INDEX(Assumptions!$C$5:$C$10,MATCH(E83,Assumptions!$A$5:$A$10,0)),INDEX(Assumptions!$B$5:$B$10,MATCH(E83,Assumptions!$A$5:$A$10,0)))</f>
        <v>4.99</v>
      </c>
      <c r="I83" s="90">
        <f>H83</f>
        <v>4.99</v>
      </c>
      <c r="J83" s="80">
        <f>INDEX(Assumptions!$D$5:$D$10,MATCH(E83,Assumptions!$A$5:$A$10,0))*IF(C83=1,Assumptions!$B$12,1)</f>
        <v>8</v>
      </c>
      <c r="K83" s="90">
        <f>IF(M83&lt;&gt;"",M83,H83*J83)</f>
        <v>39.92</v>
      </c>
      <c r="L83" s="90">
        <f>K83-I83</f>
        <v>34.93</v>
      </c>
      <c r="M83" s="115"/>
    </row>
    <row r="84" spans="1:13" x14ac:dyDescent="0.2">
      <c r="A84" t="s">
        <v>242</v>
      </c>
      <c r="B84" t="s">
        <v>258</v>
      </c>
      <c r="C84" s="91">
        <v>13</v>
      </c>
      <c r="D84" t="s">
        <v>198</v>
      </c>
      <c r="E84" t="str">
        <f>IF(ISNUMBER(SEARCH("Incentive",D84)),"Incentive 1:25",IF(ISNUMBER(SEARCH("Foil",D84)),"Foil Variant",IF(OR(ISNUMBER(SEARCH("Annual",A84)),ISNUMBER(SEARCH("Special",A84))),"Annual/Special",IF(ISNUMBER(SEARCH("Printing",D84)),"Later Printing",IF(ISNUMBER(SEARCH("Regular",D84)),"Regular","Variant")))))</f>
        <v>Variant</v>
      </c>
      <c r="F84" s="91">
        <v>2025</v>
      </c>
      <c r="G84" t="s">
        <v>444</v>
      </c>
      <c r="H84" s="90">
        <f>IF(F84&gt;=Assumptions!$B$13,INDEX(Assumptions!$C$5:$C$10,MATCH(E84,Assumptions!$A$5:$A$10,0)),INDEX(Assumptions!$B$5:$B$10,MATCH(E84,Assumptions!$A$5:$A$10,0)))</f>
        <v>4.99</v>
      </c>
      <c r="I84" s="90">
        <f>H84</f>
        <v>4.99</v>
      </c>
      <c r="J84" s="80">
        <f>INDEX(Assumptions!$D$5:$D$10,MATCH(E84,Assumptions!$A$5:$A$10,0))*IF(C84=1,Assumptions!$B$12,1)</f>
        <v>1.8</v>
      </c>
      <c r="K84" s="90">
        <f>IF(M84&lt;&gt;"",M84,H84*J84)</f>
        <v>8.9820000000000011</v>
      </c>
      <c r="L84" s="90">
        <f>K84-I84</f>
        <v>3.9920000000000009</v>
      </c>
      <c r="M84" s="115"/>
    </row>
    <row r="85" spans="1:13" x14ac:dyDescent="0.2">
      <c r="A85" t="s">
        <v>242</v>
      </c>
      <c r="B85" t="s">
        <v>260</v>
      </c>
      <c r="C85" s="91">
        <v>13</v>
      </c>
      <c r="D85" t="s">
        <v>261</v>
      </c>
      <c r="E85" t="str">
        <f>IF(ISNUMBER(SEARCH("Incentive",D85)),"Incentive 1:25",IF(ISNUMBER(SEARCH("Foil",D85)),"Foil Variant",IF(OR(ISNUMBER(SEARCH("Annual",A85)),ISNUMBER(SEARCH("Special",A85))),"Annual/Special",IF(ISNUMBER(SEARCH("Printing",D85)),"Later Printing",IF(ISNUMBER(SEARCH("Regular",D85)),"Regular","Variant")))))</f>
        <v>Variant</v>
      </c>
      <c r="F85" s="91">
        <v>2025</v>
      </c>
      <c r="G85" t="s">
        <v>444</v>
      </c>
      <c r="H85" s="90">
        <f>IF(F85&gt;=Assumptions!$B$13,INDEX(Assumptions!$C$5:$C$10,MATCH(E85,Assumptions!$A$5:$A$10,0)),INDEX(Assumptions!$B$5:$B$10,MATCH(E85,Assumptions!$A$5:$A$10,0)))</f>
        <v>4.99</v>
      </c>
      <c r="I85" s="90">
        <f>H85</f>
        <v>4.99</v>
      </c>
      <c r="J85" s="80">
        <f>INDEX(Assumptions!$D$5:$D$10,MATCH(E85,Assumptions!$A$5:$A$10,0))*IF(C85=1,Assumptions!$B$12,1)</f>
        <v>1.8</v>
      </c>
      <c r="K85" s="90">
        <f>IF(M85&lt;&gt;"",M85,H85*J85)</f>
        <v>8.9820000000000011</v>
      </c>
      <c r="L85" s="90">
        <f>K85-I85</f>
        <v>3.9920000000000009</v>
      </c>
      <c r="M85" s="115"/>
    </row>
    <row r="86" spans="1:13" x14ac:dyDescent="0.2">
      <c r="A86" t="s">
        <v>242</v>
      </c>
      <c r="B86" t="s">
        <v>262</v>
      </c>
      <c r="C86" s="91">
        <v>15</v>
      </c>
      <c r="D86" t="s">
        <v>247</v>
      </c>
      <c r="E86" t="str">
        <f>IF(ISNUMBER(SEARCH("Incentive",D86)),"Incentive 1:25",IF(ISNUMBER(SEARCH("Foil",D86)),"Foil Variant",IF(OR(ISNUMBER(SEARCH("Annual",A86)),ISNUMBER(SEARCH("Special",A86))),"Annual/Special",IF(ISNUMBER(SEARCH("Printing",D86)),"Later Printing",IF(ISNUMBER(SEARCH("Regular",D86)),"Regular","Variant")))))</f>
        <v>Regular</v>
      </c>
      <c r="F86" s="91">
        <v>2025</v>
      </c>
      <c r="G86" t="s">
        <v>444</v>
      </c>
      <c r="H86" s="90">
        <f>IF(F86&gt;=Assumptions!$B$13,INDEX(Assumptions!$C$5:$C$10,MATCH(E86,Assumptions!$A$5:$A$10,0)),INDEX(Assumptions!$B$5:$B$10,MATCH(E86,Assumptions!$A$5:$A$10,0)))</f>
        <v>4.99</v>
      </c>
      <c r="I86" s="90">
        <f>H86</f>
        <v>4.99</v>
      </c>
      <c r="J86" s="80">
        <f>INDEX(Assumptions!$D$5:$D$10,MATCH(E86,Assumptions!$A$5:$A$10,0))*IF(C86=1,Assumptions!$B$12,1)</f>
        <v>1.4</v>
      </c>
      <c r="K86" s="90">
        <f>IF(M86&lt;&gt;"",M86,H86*J86)</f>
        <v>6.9859999999999998</v>
      </c>
      <c r="L86" s="90">
        <f>K86-I86</f>
        <v>1.9959999999999996</v>
      </c>
      <c r="M86" s="115"/>
    </row>
    <row r="87" spans="1:13" x14ac:dyDescent="0.2">
      <c r="A87" t="s">
        <v>242</v>
      </c>
      <c r="B87" t="s">
        <v>264</v>
      </c>
      <c r="C87" s="91">
        <v>17</v>
      </c>
      <c r="D87" t="s">
        <v>265</v>
      </c>
      <c r="E87" t="str">
        <f>IF(ISNUMBER(SEARCH("Incentive",D87)),"Incentive 1:25",IF(ISNUMBER(SEARCH("Foil",D87)),"Foil Variant",IF(OR(ISNUMBER(SEARCH("Annual",A87)),ISNUMBER(SEARCH("Special",A87))),"Annual/Special",IF(ISNUMBER(SEARCH("Printing",D87)),"Later Printing",IF(ISNUMBER(SEARCH("Regular",D87)),"Regular","Variant")))))</f>
        <v>Variant</v>
      </c>
      <c r="F87" s="91">
        <v>2026</v>
      </c>
      <c r="G87" t="s">
        <v>444</v>
      </c>
      <c r="H87" s="90">
        <f>IF(F87&gt;=Assumptions!$B$13,INDEX(Assumptions!$C$5:$C$10,MATCH(E87,Assumptions!$A$5:$A$10,0)),INDEX(Assumptions!$B$5:$B$10,MATCH(E87,Assumptions!$A$5:$A$10,0)))</f>
        <v>5.99</v>
      </c>
      <c r="I87" s="90">
        <f>H87</f>
        <v>5.99</v>
      </c>
      <c r="J87" s="80">
        <f>INDEX(Assumptions!$D$5:$D$10,MATCH(E87,Assumptions!$A$5:$A$10,0))*IF(C87=1,Assumptions!$B$12,1)</f>
        <v>1.8</v>
      </c>
      <c r="K87" s="90">
        <f>IF(M87&lt;&gt;"",M87,H87*J87)</f>
        <v>10.782</v>
      </c>
      <c r="L87" s="90">
        <f>K87-I87</f>
        <v>4.7919999999999998</v>
      </c>
      <c r="M87" s="115"/>
    </row>
    <row r="88" spans="1:13" x14ac:dyDescent="0.2">
      <c r="A88" t="s">
        <v>242</v>
      </c>
      <c r="B88" t="s">
        <v>223</v>
      </c>
      <c r="C88" s="91">
        <v>18</v>
      </c>
      <c r="D88" t="s">
        <v>267</v>
      </c>
      <c r="E88" t="str">
        <f>IF(ISNUMBER(SEARCH("Incentive",D88)),"Incentive 1:25",IF(ISNUMBER(SEARCH("Foil",D88)),"Foil Variant",IF(OR(ISNUMBER(SEARCH("Annual",A88)),ISNUMBER(SEARCH("Special",A88))),"Annual/Special",IF(ISNUMBER(SEARCH("Printing",D88)),"Later Printing",IF(ISNUMBER(SEARCH("Regular",D88)),"Regular","Variant")))))</f>
        <v>Variant</v>
      </c>
      <c r="F88" s="91">
        <v>2026</v>
      </c>
      <c r="G88" t="s">
        <v>444</v>
      </c>
      <c r="H88" s="90">
        <f>IF(F88&gt;=Assumptions!$B$13,INDEX(Assumptions!$C$5:$C$10,MATCH(E88,Assumptions!$A$5:$A$10,0)),INDEX(Assumptions!$B$5:$B$10,MATCH(E88,Assumptions!$A$5:$A$10,0)))</f>
        <v>5.99</v>
      </c>
      <c r="I88" s="90">
        <f>H88</f>
        <v>5.99</v>
      </c>
      <c r="J88" s="80">
        <f>INDEX(Assumptions!$D$5:$D$10,MATCH(E88,Assumptions!$A$5:$A$10,0))*IF(C88=1,Assumptions!$B$12,1)</f>
        <v>1.8</v>
      </c>
      <c r="K88" s="90">
        <f>IF(M88&lt;&gt;"",M88,H88*J88)</f>
        <v>10.782</v>
      </c>
      <c r="L88" s="90">
        <f>K88-I88</f>
        <v>4.7919999999999998</v>
      </c>
      <c r="M88" s="115"/>
    </row>
    <row r="89" spans="1:13" x14ac:dyDescent="0.2">
      <c r="A89" t="s">
        <v>242</v>
      </c>
      <c r="B89" t="s">
        <v>268</v>
      </c>
      <c r="C89" s="91">
        <v>22</v>
      </c>
      <c r="D89" t="s">
        <v>247</v>
      </c>
      <c r="E89" t="str">
        <f>IF(ISNUMBER(SEARCH("Incentive",D89)),"Incentive 1:25",IF(ISNUMBER(SEARCH("Foil",D89)),"Foil Variant",IF(OR(ISNUMBER(SEARCH("Annual",A89)),ISNUMBER(SEARCH("Special",A89))),"Annual/Special",IF(ISNUMBER(SEARCH("Printing",D89)),"Later Printing",IF(ISNUMBER(SEARCH("Regular",D89)),"Regular","Variant")))))</f>
        <v>Regular</v>
      </c>
      <c r="F89" s="91">
        <v>2026</v>
      </c>
      <c r="G89" t="s">
        <v>444</v>
      </c>
      <c r="H89" s="90">
        <f>IF(F89&gt;=Assumptions!$B$13,INDEX(Assumptions!$C$5:$C$10,MATCH(E89,Assumptions!$A$5:$A$10,0)),INDEX(Assumptions!$B$5:$B$10,MATCH(E89,Assumptions!$A$5:$A$10,0)))</f>
        <v>5.99</v>
      </c>
      <c r="I89" s="90">
        <f>H89</f>
        <v>5.99</v>
      </c>
      <c r="J89" s="80">
        <f>INDEX(Assumptions!$D$5:$D$10,MATCH(E89,Assumptions!$A$5:$A$10,0))*IF(C89=1,Assumptions!$B$12,1)</f>
        <v>1.4</v>
      </c>
      <c r="K89" s="90">
        <f>IF(M89&lt;&gt;"",M89,H89*J89)</f>
        <v>8.3859999999999992</v>
      </c>
      <c r="L89" s="90">
        <f>K89-I89</f>
        <v>2.395999999999999</v>
      </c>
      <c r="M89" s="115"/>
    </row>
    <row r="90" spans="1:13" x14ac:dyDescent="0.2">
      <c r="A90" t="s">
        <v>242</v>
      </c>
      <c r="B90" t="s">
        <v>237</v>
      </c>
      <c r="C90" s="91">
        <v>23</v>
      </c>
      <c r="D90" t="s">
        <v>267</v>
      </c>
      <c r="E90" t="str">
        <f>IF(ISNUMBER(SEARCH("Incentive",D90)),"Incentive 1:25",IF(ISNUMBER(SEARCH("Foil",D90)),"Foil Variant",IF(OR(ISNUMBER(SEARCH("Annual",A90)),ISNUMBER(SEARCH("Special",A90))),"Annual/Special",IF(ISNUMBER(SEARCH("Printing",D90)),"Later Printing",IF(ISNUMBER(SEARCH("Regular",D90)),"Regular","Variant")))))</f>
        <v>Variant</v>
      </c>
      <c r="F90" s="91">
        <v>2026</v>
      </c>
      <c r="G90" t="s">
        <v>444</v>
      </c>
      <c r="H90" s="90">
        <f>IF(F90&gt;=Assumptions!$B$13,INDEX(Assumptions!$C$5:$C$10,MATCH(E90,Assumptions!$A$5:$A$10,0)),INDEX(Assumptions!$B$5:$B$10,MATCH(E90,Assumptions!$A$5:$A$10,0)))</f>
        <v>5.99</v>
      </c>
      <c r="I90" s="90">
        <f>H90</f>
        <v>5.99</v>
      </c>
      <c r="J90" s="80">
        <f>INDEX(Assumptions!$D$5:$D$10,MATCH(E90,Assumptions!$A$5:$A$10,0))*IF(C90=1,Assumptions!$B$12,1)</f>
        <v>1.8</v>
      </c>
      <c r="K90" s="90">
        <f>IF(M90&lt;&gt;"",M90,H90*J90)</f>
        <v>10.782</v>
      </c>
      <c r="L90" s="90">
        <f>K90-I90</f>
        <v>4.7919999999999998</v>
      </c>
      <c r="M90" s="115"/>
    </row>
    <row r="91" spans="1:13" x14ac:dyDescent="0.2">
      <c r="A91" s="95" t="str">
        <f>'Shopping Plan'!A33</f>
        <v>Absolute Batman</v>
      </c>
      <c r="B91" s="95" t="str">
        <f>'Shopping Plan'!B33&amp;""</f>
        <v>19</v>
      </c>
      <c r="C91" s="96">
        <f>'Shopping Plan'!B33</f>
        <v>19</v>
      </c>
      <c r="D91" t="s">
        <v>446</v>
      </c>
      <c r="E91" t="str">
        <f>IF(ISNUMBER(SEARCH("Incentive",D91)),"Incentive 1:25",IF(ISNUMBER(SEARCH("Foil",D91)),"Foil Variant",IF(OR(ISNUMBER(SEARCH("Annual",A91)),ISNUMBER(SEARCH("Special",A91))),"Annual/Special",IF(ISNUMBER(SEARCH("Printing",D91)),"Later Printing",IF(ISNUMBER(SEARCH("Regular",D91)),"Regular","Variant")))))</f>
        <v>Regular</v>
      </c>
      <c r="F91" s="91">
        <v>2026</v>
      </c>
      <c r="G91" t="s">
        <v>445</v>
      </c>
      <c r="H91" s="90">
        <f>IF(F91&gt;=Assumptions!$B$13,INDEX(Assumptions!$C$5:$C$10,MATCH(E91,Assumptions!$A$5:$A$10,0)),INDEX(Assumptions!$B$5:$B$10,MATCH(E91,Assumptions!$A$5:$A$10,0)))</f>
        <v>5.99</v>
      </c>
      <c r="I91" s="94">
        <f>'Shopping Plan'!E33</f>
        <v>4.99</v>
      </c>
      <c r="J91" s="80">
        <f>INDEX(Assumptions!$D$5:$D$10,MATCH(E91,Assumptions!$A$5:$A$10,0))*IF(C91=1,Assumptions!$B$12,1)</f>
        <v>1.4</v>
      </c>
      <c r="K91" s="90">
        <f>IF(M91&lt;&gt;"",M91,H91*J91)</f>
        <v>8.3859999999999992</v>
      </c>
      <c r="L91" s="90">
        <f>K91-I91</f>
        <v>3.395999999999999</v>
      </c>
      <c r="M91" s="115"/>
    </row>
    <row r="92" spans="1:13" x14ac:dyDescent="0.2">
      <c r="A92" s="95" t="str">
        <f>'Shopping Plan'!A34</f>
        <v>Absolute Batman</v>
      </c>
      <c r="B92" s="95" t="str">
        <f>'Shopping Plan'!B34&amp;""</f>
        <v>20</v>
      </c>
      <c r="C92" s="96">
        <f>'Shopping Plan'!B34</f>
        <v>20</v>
      </c>
      <c r="D92" t="s">
        <v>446</v>
      </c>
      <c r="E92" t="str">
        <f>IF(ISNUMBER(SEARCH("Incentive",D92)),"Incentive 1:25",IF(ISNUMBER(SEARCH("Foil",D92)),"Foil Variant",IF(OR(ISNUMBER(SEARCH("Annual",A92)),ISNUMBER(SEARCH("Special",A92))),"Annual/Special",IF(ISNUMBER(SEARCH("Printing",D92)),"Later Printing",IF(ISNUMBER(SEARCH("Regular",D92)),"Regular","Variant")))))</f>
        <v>Regular</v>
      </c>
      <c r="F92" s="91">
        <v>2026</v>
      </c>
      <c r="G92" t="s">
        <v>445</v>
      </c>
      <c r="H92" s="90">
        <f>IF(F92&gt;=Assumptions!$B$13,INDEX(Assumptions!$C$5:$C$10,MATCH(E92,Assumptions!$A$5:$A$10,0)),INDEX(Assumptions!$B$5:$B$10,MATCH(E92,Assumptions!$A$5:$A$10,0)))</f>
        <v>5.99</v>
      </c>
      <c r="I92" s="94">
        <f>'Shopping Plan'!E34</f>
        <v>5.99</v>
      </c>
      <c r="J92" s="80">
        <f>INDEX(Assumptions!$D$5:$D$10,MATCH(E92,Assumptions!$A$5:$A$10,0))*IF(C92=1,Assumptions!$B$12,1)</f>
        <v>1.4</v>
      </c>
      <c r="K92" s="90">
        <f>IF(M92&lt;&gt;"",M92,H92*J92)</f>
        <v>8.3859999999999992</v>
      </c>
      <c r="L92" s="90">
        <f>K92-I92</f>
        <v>2.395999999999999</v>
      </c>
      <c r="M92" s="115"/>
    </row>
    <row r="93" spans="1:13" x14ac:dyDescent="0.2">
      <c r="A93" s="95" t="str">
        <f>'Shopping Plan'!A35</f>
        <v>Absolute Batman</v>
      </c>
      <c r="B93" s="95" t="str">
        <f>'Shopping Plan'!B35&amp;""</f>
        <v>21</v>
      </c>
      <c r="C93" s="96">
        <f>'Shopping Plan'!B35</f>
        <v>21</v>
      </c>
      <c r="D93" t="s">
        <v>446</v>
      </c>
      <c r="E93" t="str">
        <f>IF(ISNUMBER(SEARCH("Incentive",D93)),"Incentive 1:25",IF(ISNUMBER(SEARCH("Foil",D93)),"Foil Variant",IF(OR(ISNUMBER(SEARCH("Annual",A93)),ISNUMBER(SEARCH("Special",A93))),"Annual/Special",IF(ISNUMBER(SEARCH("Printing",D93)),"Later Printing",IF(ISNUMBER(SEARCH("Regular",D93)),"Regular","Variant")))))</f>
        <v>Regular</v>
      </c>
      <c r="F93" s="91">
        <v>2026</v>
      </c>
      <c r="G93" t="s">
        <v>445</v>
      </c>
      <c r="H93" s="90">
        <f>IF(F93&gt;=Assumptions!$B$13,INDEX(Assumptions!$C$5:$C$10,MATCH(E93,Assumptions!$A$5:$A$10,0)),INDEX(Assumptions!$B$5:$B$10,MATCH(E93,Assumptions!$A$5:$A$10,0)))</f>
        <v>5.99</v>
      </c>
      <c r="I93" s="94">
        <f>'Shopping Plan'!E35</f>
        <v>19.989999999999998</v>
      </c>
      <c r="J93" s="80">
        <f>INDEX(Assumptions!$D$5:$D$10,MATCH(E93,Assumptions!$A$5:$A$10,0))*IF(C93=1,Assumptions!$B$12,1)</f>
        <v>1.4</v>
      </c>
      <c r="K93" s="90">
        <f>IF(M93&lt;&gt;"",M93,H93*J93)</f>
        <v>8.3859999999999992</v>
      </c>
      <c r="L93" s="90">
        <f>K93-I93</f>
        <v>-11.603999999999999</v>
      </c>
      <c r="M93" s="115"/>
    </row>
    <row r="94" spans="1:13" x14ac:dyDescent="0.2">
      <c r="A94" s="95" t="str">
        <f>'Shopping Plan'!A36</f>
        <v>Absolute Batman</v>
      </c>
      <c r="B94" s="95" t="str">
        <f>'Shopping Plan'!B36&amp;""</f>
        <v>22</v>
      </c>
      <c r="C94" s="96">
        <f>'Shopping Plan'!B36</f>
        <v>22</v>
      </c>
      <c r="D94" t="s">
        <v>446</v>
      </c>
      <c r="E94" t="str">
        <f>IF(ISNUMBER(SEARCH("Incentive",D94)),"Incentive 1:25",IF(ISNUMBER(SEARCH("Foil",D94)),"Foil Variant",IF(OR(ISNUMBER(SEARCH("Annual",A94)),ISNUMBER(SEARCH("Special",A94))),"Annual/Special",IF(ISNUMBER(SEARCH("Printing",D94)),"Later Printing",IF(ISNUMBER(SEARCH("Regular",D94)),"Regular","Variant")))))</f>
        <v>Regular</v>
      </c>
      <c r="F94" s="91">
        <v>2026</v>
      </c>
      <c r="G94" t="s">
        <v>445</v>
      </c>
      <c r="H94" s="90">
        <f>IF(F94&gt;=Assumptions!$B$13,INDEX(Assumptions!$C$5:$C$10,MATCH(E94,Assumptions!$A$5:$A$10,0)),INDEX(Assumptions!$B$5:$B$10,MATCH(E94,Assumptions!$A$5:$A$10,0)))</f>
        <v>5.99</v>
      </c>
      <c r="I94" s="94">
        <f>'Shopping Plan'!E36</f>
        <v>4.99</v>
      </c>
      <c r="J94" s="80">
        <f>INDEX(Assumptions!$D$5:$D$10,MATCH(E94,Assumptions!$A$5:$A$10,0))*IF(C94=1,Assumptions!$B$12,1)</f>
        <v>1.4</v>
      </c>
      <c r="K94" s="90">
        <f>IF(M94&lt;&gt;"",M94,H94*J94)</f>
        <v>8.3859999999999992</v>
      </c>
      <c r="L94" s="90">
        <f>K94-I94</f>
        <v>3.395999999999999</v>
      </c>
      <c r="M94" s="115"/>
    </row>
    <row r="95" spans="1:13" x14ac:dyDescent="0.2">
      <c r="A95" s="95" t="str">
        <f>'Shopping Plan'!A37</f>
        <v>Absolute Batman</v>
      </c>
      <c r="B95" s="95" t="str">
        <f>'Shopping Plan'!B37&amp;""</f>
        <v>23</v>
      </c>
      <c r="C95" s="96">
        <f>'Shopping Plan'!B37</f>
        <v>23</v>
      </c>
      <c r="D95" t="s">
        <v>446</v>
      </c>
      <c r="E95" t="str">
        <f>IF(ISNUMBER(SEARCH("Incentive",D95)),"Incentive 1:25",IF(ISNUMBER(SEARCH("Foil",D95)),"Foil Variant",IF(OR(ISNUMBER(SEARCH("Annual",A95)),ISNUMBER(SEARCH("Special",A95))),"Annual/Special",IF(ISNUMBER(SEARCH("Printing",D95)),"Later Printing",IF(ISNUMBER(SEARCH("Regular",D95)),"Regular","Variant")))))</f>
        <v>Regular</v>
      </c>
      <c r="F95" s="91">
        <v>2026</v>
      </c>
      <c r="G95" t="s">
        <v>445</v>
      </c>
      <c r="H95" s="90">
        <f>IF(F95&gt;=Assumptions!$B$13,INDEX(Assumptions!$C$5:$C$10,MATCH(E95,Assumptions!$A$5:$A$10,0)),INDEX(Assumptions!$B$5:$B$10,MATCH(E95,Assumptions!$A$5:$A$10,0)))</f>
        <v>5.99</v>
      </c>
      <c r="I95" s="94">
        <f>'Shopping Plan'!E37</f>
        <v>4.99</v>
      </c>
      <c r="J95" s="80">
        <f>INDEX(Assumptions!$D$5:$D$10,MATCH(E95,Assumptions!$A$5:$A$10,0))*IF(C95=1,Assumptions!$B$12,1)</f>
        <v>1.4</v>
      </c>
      <c r="K95" s="90">
        <f>IF(M95&lt;&gt;"",M95,H95*J95)</f>
        <v>8.3859999999999992</v>
      </c>
      <c r="L95" s="90">
        <f>K95-I95</f>
        <v>3.395999999999999</v>
      </c>
      <c r="M95" s="115"/>
    </row>
    <row r="96" spans="1:13" x14ac:dyDescent="0.2">
      <c r="A96" s="95" t="str">
        <f>'Shopping Plan'!A38</f>
        <v>Absolute Flash</v>
      </c>
      <c r="B96" s="95" t="str">
        <f>'Shopping Plan'!B38&amp;""</f>
        <v>18</v>
      </c>
      <c r="C96" s="96">
        <f>'Shopping Plan'!B38</f>
        <v>18</v>
      </c>
      <c r="D96" t="s">
        <v>446</v>
      </c>
      <c r="E96" t="str">
        <f>IF(ISNUMBER(SEARCH("Incentive",D96)),"Incentive 1:25",IF(ISNUMBER(SEARCH("Foil",D96)),"Foil Variant",IF(OR(ISNUMBER(SEARCH("Annual",A96)),ISNUMBER(SEARCH("Special",A96))),"Annual/Special",IF(ISNUMBER(SEARCH("Printing",D96)),"Later Printing",IF(ISNUMBER(SEARCH("Regular",D96)),"Regular","Variant")))))</f>
        <v>Regular</v>
      </c>
      <c r="F96" s="91">
        <v>2026</v>
      </c>
      <c r="G96" t="s">
        <v>445</v>
      </c>
      <c r="H96" s="90">
        <f>IF(F96&gt;=Assumptions!$B$13,INDEX(Assumptions!$C$5:$C$10,MATCH(E96,Assumptions!$A$5:$A$10,0)),INDEX(Assumptions!$B$5:$B$10,MATCH(E96,Assumptions!$A$5:$A$10,0)))</f>
        <v>5.99</v>
      </c>
      <c r="I96" s="94">
        <f>'Shopping Plan'!E38</f>
        <v>4.99</v>
      </c>
      <c r="J96" s="80">
        <f>INDEX(Assumptions!$D$5:$D$10,MATCH(E96,Assumptions!$A$5:$A$10,0))*IF(C96=1,Assumptions!$B$12,1)</f>
        <v>1.4</v>
      </c>
      <c r="K96" s="90">
        <f>IF(M96&lt;&gt;"",M96,H96*J96)</f>
        <v>8.3859999999999992</v>
      </c>
      <c r="L96" s="90">
        <f>K96-I96</f>
        <v>3.395999999999999</v>
      </c>
      <c r="M96" s="115"/>
    </row>
    <row r="97" spans="1:13" x14ac:dyDescent="0.2">
      <c r="A97" s="95" t="str">
        <f>'Shopping Plan'!A40</f>
        <v>Absolute Green Arrow</v>
      </c>
      <c r="B97" s="95" t="str">
        <f>'Shopping Plan'!B40&amp;""</f>
        <v>4</v>
      </c>
      <c r="C97" s="96">
        <f>'Shopping Plan'!B40</f>
        <v>4</v>
      </c>
      <c r="D97" t="s">
        <v>446</v>
      </c>
      <c r="E97" t="str">
        <f>IF(ISNUMBER(SEARCH("Incentive",D97)),"Incentive 1:25",IF(ISNUMBER(SEARCH("Foil",D97)),"Foil Variant",IF(OR(ISNUMBER(SEARCH("Annual",A97)),ISNUMBER(SEARCH("Special",A97))),"Annual/Special",IF(ISNUMBER(SEARCH("Printing",D97)),"Later Printing",IF(ISNUMBER(SEARCH("Regular",D97)),"Regular","Variant")))))</f>
        <v>Regular</v>
      </c>
      <c r="F97" s="91">
        <v>2026</v>
      </c>
      <c r="G97" t="s">
        <v>445</v>
      </c>
      <c r="H97" s="90">
        <f>IF(F97&gt;=Assumptions!$B$13,INDEX(Assumptions!$C$5:$C$10,MATCH(E97,Assumptions!$A$5:$A$10,0)),INDEX(Assumptions!$B$5:$B$10,MATCH(E97,Assumptions!$A$5:$A$10,0)))</f>
        <v>5.99</v>
      </c>
      <c r="I97" s="94">
        <f>'Shopping Plan'!E40</f>
        <v>4.99</v>
      </c>
      <c r="J97" s="80">
        <f>INDEX(Assumptions!$D$5:$D$10,MATCH(E97,Assumptions!$A$5:$A$10,0))*IF(C97=1,Assumptions!$B$12,1)</f>
        <v>1.4</v>
      </c>
      <c r="K97" s="90">
        <f>IF(M97&lt;&gt;"",M97,H97*J97)</f>
        <v>8.3859999999999992</v>
      </c>
      <c r="L97" s="90">
        <f>K97-I97</f>
        <v>3.395999999999999</v>
      </c>
      <c r="M97" s="115"/>
    </row>
    <row r="98" spans="1:13" x14ac:dyDescent="0.2">
      <c r="A98" s="95" t="str">
        <f>'Shopping Plan'!A41</f>
        <v>Absolute Superman</v>
      </c>
      <c r="B98" s="95" t="str">
        <f>'Shopping Plan'!B41&amp;""</f>
        <v>12</v>
      </c>
      <c r="C98" s="96">
        <f>'Shopping Plan'!B41</f>
        <v>12</v>
      </c>
      <c r="D98" t="s">
        <v>446</v>
      </c>
      <c r="E98" t="str">
        <f>IF(ISNUMBER(SEARCH("Incentive",D98)),"Incentive 1:25",IF(ISNUMBER(SEARCH("Foil",D98)),"Foil Variant",IF(OR(ISNUMBER(SEARCH("Annual",A98)),ISNUMBER(SEARCH("Special",A98))),"Annual/Special",IF(ISNUMBER(SEARCH("Printing",D98)),"Later Printing",IF(ISNUMBER(SEARCH("Regular",D98)),"Regular","Variant")))))</f>
        <v>Regular</v>
      </c>
      <c r="F98" s="91">
        <v>2025</v>
      </c>
      <c r="G98" t="s">
        <v>445</v>
      </c>
      <c r="H98" s="90">
        <f>IF(F98&gt;=Assumptions!$B$13,INDEX(Assumptions!$C$5:$C$10,MATCH(E98,Assumptions!$A$5:$A$10,0)),INDEX(Assumptions!$B$5:$B$10,MATCH(E98,Assumptions!$A$5:$A$10,0)))</f>
        <v>4.99</v>
      </c>
      <c r="I98" s="94">
        <f>'Shopping Plan'!E41</f>
        <v>5.99</v>
      </c>
      <c r="J98" s="80">
        <f>INDEX(Assumptions!$D$5:$D$10,MATCH(E98,Assumptions!$A$5:$A$10,0))*IF(C98=1,Assumptions!$B$12,1)</f>
        <v>1.4</v>
      </c>
      <c r="K98" s="90">
        <f>IF(M98&lt;&gt;"",M98,H98*J98)</f>
        <v>6.9859999999999998</v>
      </c>
      <c r="L98" s="90">
        <f>K98-I98</f>
        <v>0.99599999999999955</v>
      </c>
      <c r="M98" s="115"/>
    </row>
    <row r="99" spans="1:13" x14ac:dyDescent="0.2">
      <c r="A99" s="95" t="str">
        <f>'Shopping Plan'!A42</f>
        <v>Absolute Superman</v>
      </c>
      <c r="B99" s="95" t="str">
        <f>'Shopping Plan'!B42&amp;""</f>
        <v>13</v>
      </c>
      <c r="C99" s="96">
        <f>'Shopping Plan'!B42</f>
        <v>13</v>
      </c>
      <c r="D99" t="s">
        <v>446</v>
      </c>
      <c r="E99" t="str">
        <f>IF(ISNUMBER(SEARCH("Incentive",D99)),"Incentive 1:25",IF(ISNUMBER(SEARCH("Foil",D99)),"Foil Variant",IF(OR(ISNUMBER(SEARCH("Annual",A99)),ISNUMBER(SEARCH("Special",A99))),"Annual/Special",IF(ISNUMBER(SEARCH("Printing",D99)),"Later Printing",IF(ISNUMBER(SEARCH("Regular",D99)),"Regular","Variant")))))</f>
        <v>Regular</v>
      </c>
      <c r="F99" s="91">
        <v>2025</v>
      </c>
      <c r="G99" t="s">
        <v>445</v>
      </c>
      <c r="H99" s="90">
        <f>IF(F99&gt;=Assumptions!$B$13,INDEX(Assumptions!$C$5:$C$10,MATCH(E99,Assumptions!$A$5:$A$10,0)),INDEX(Assumptions!$B$5:$B$10,MATCH(E99,Assumptions!$A$5:$A$10,0)))</f>
        <v>4.99</v>
      </c>
      <c r="I99" s="94">
        <f>'Shopping Plan'!E42</f>
        <v>5.99</v>
      </c>
      <c r="J99" s="80">
        <f>INDEX(Assumptions!$D$5:$D$10,MATCH(E99,Assumptions!$A$5:$A$10,0))*IF(C99=1,Assumptions!$B$12,1)</f>
        <v>1.4</v>
      </c>
      <c r="K99" s="90">
        <f>IF(M99&lt;&gt;"",M99,H99*J99)</f>
        <v>6.9859999999999998</v>
      </c>
      <c r="L99" s="90">
        <f>K99-I99</f>
        <v>0.99599999999999955</v>
      </c>
      <c r="M99" s="115"/>
    </row>
    <row r="100" spans="1:13" x14ac:dyDescent="0.2">
      <c r="A100" s="95" t="str">
        <f>'Shopping Plan'!A43</f>
        <v>Absolute Superman</v>
      </c>
      <c r="B100" s="95" t="str">
        <f>'Shopping Plan'!B43&amp;""</f>
        <v>14</v>
      </c>
      <c r="C100" s="96">
        <f>'Shopping Plan'!B43</f>
        <v>14</v>
      </c>
      <c r="D100" t="s">
        <v>446</v>
      </c>
      <c r="E100" t="str">
        <f>IF(ISNUMBER(SEARCH("Incentive",D100)),"Incentive 1:25",IF(ISNUMBER(SEARCH("Foil",D100)),"Foil Variant",IF(OR(ISNUMBER(SEARCH("Annual",A100)),ISNUMBER(SEARCH("Special",A100))),"Annual/Special",IF(ISNUMBER(SEARCH("Printing",D100)),"Later Printing",IF(ISNUMBER(SEARCH("Regular",D100)),"Regular","Variant")))))</f>
        <v>Regular</v>
      </c>
      <c r="F100" s="91">
        <v>2025</v>
      </c>
      <c r="G100" t="s">
        <v>445</v>
      </c>
      <c r="H100" s="90">
        <f>IF(F100&gt;=Assumptions!$B$13,INDEX(Assumptions!$C$5:$C$10,MATCH(E100,Assumptions!$A$5:$A$10,0)),INDEX(Assumptions!$B$5:$B$10,MATCH(E100,Assumptions!$A$5:$A$10,0)))</f>
        <v>4.99</v>
      </c>
      <c r="I100" s="94">
        <f>'Shopping Plan'!E43</f>
        <v>4.99</v>
      </c>
      <c r="J100" s="80">
        <f>INDEX(Assumptions!$D$5:$D$10,MATCH(E100,Assumptions!$A$5:$A$10,0))*IF(C100=1,Assumptions!$B$12,1)</f>
        <v>1.4</v>
      </c>
      <c r="K100" s="90">
        <f>IF(M100&lt;&gt;"",M100,H100*J100)</f>
        <v>6.9859999999999998</v>
      </c>
      <c r="L100" s="90">
        <f>K100-I100</f>
        <v>1.9959999999999996</v>
      </c>
      <c r="M100" s="115"/>
    </row>
    <row r="101" spans="1:13" x14ac:dyDescent="0.2">
      <c r="A101" s="95" t="str">
        <f>'Shopping Plan'!A45</f>
        <v>Absolute Superman</v>
      </c>
      <c r="B101" s="95" t="str">
        <f>'Shopping Plan'!B45&amp;""</f>
        <v>16</v>
      </c>
      <c r="C101" s="96">
        <f>'Shopping Plan'!B45</f>
        <v>16</v>
      </c>
      <c r="D101" t="s">
        <v>446</v>
      </c>
      <c r="E101" t="str">
        <f>IF(ISNUMBER(SEARCH("Incentive",D101)),"Incentive 1:25",IF(ISNUMBER(SEARCH("Foil",D101)),"Foil Variant",IF(OR(ISNUMBER(SEARCH("Annual",A101)),ISNUMBER(SEARCH("Special",A101))),"Annual/Special",IF(ISNUMBER(SEARCH("Printing",D101)),"Later Printing",IF(ISNUMBER(SEARCH("Regular",D101)),"Regular","Variant")))))</f>
        <v>Regular</v>
      </c>
      <c r="F101" s="91">
        <v>2025</v>
      </c>
      <c r="G101" t="s">
        <v>445</v>
      </c>
      <c r="H101" s="90">
        <f>IF(F101&gt;=Assumptions!$B$13,INDEX(Assumptions!$C$5:$C$10,MATCH(E101,Assumptions!$A$5:$A$10,0)),INDEX(Assumptions!$B$5:$B$10,MATCH(E101,Assumptions!$A$5:$A$10,0)))</f>
        <v>4.99</v>
      </c>
      <c r="I101" s="94">
        <f>'Shopping Plan'!E45</f>
        <v>4.99</v>
      </c>
      <c r="J101" s="80">
        <f>INDEX(Assumptions!$D$5:$D$10,MATCH(E101,Assumptions!$A$5:$A$10,0))*IF(C101=1,Assumptions!$B$12,1)</f>
        <v>1.4</v>
      </c>
      <c r="K101" s="90">
        <f>IF(M101&lt;&gt;"",M101,H101*J101)</f>
        <v>6.9859999999999998</v>
      </c>
      <c r="L101" s="90">
        <f>K101-I101</f>
        <v>1.9959999999999996</v>
      </c>
      <c r="M101" s="115"/>
    </row>
    <row r="102" spans="1:13" x14ac:dyDescent="0.2">
      <c r="A102" s="95" t="str">
        <f>'Shopping Plan'!A46</f>
        <v>Absolute Superman</v>
      </c>
      <c r="B102" s="95" t="str">
        <f>'Shopping Plan'!B46&amp;""</f>
        <v>19</v>
      </c>
      <c r="C102" s="96">
        <f>'Shopping Plan'!B46</f>
        <v>19</v>
      </c>
      <c r="D102" t="s">
        <v>446</v>
      </c>
      <c r="E102" t="str">
        <f>IF(ISNUMBER(SEARCH("Incentive",D102)),"Incentive 1:25",IF(ISNUMBER(SEARCH("Foil",D102)),"Foil Variant",IF(OR(ISNUMBER(SEARCH("Annual",A102)),ISNUMBER(SEARCH("Special",A102))),"Annual/Special",IF(ISNUMBER(SEARCH("Printing",D102)),"Later Printing",IF(ISNUMBER(SEARCH("Regular",D102)),"Regular","Variant")))))</f>
        <v>Regular</v>
      </c>
      <c r="F102" s="91">
        <v>2026</v>
      </c>
      <c r="G102" t="s">
        <v>445</v>
      </c>
      <c r="H102" s="90">
        <f>IF(F102&gt;=Assumptions!$B$13,INDEX(Assumptions!$C$5:$C$10,MATCH(E102,Assumptions!$A$5:$A$10,0)),INDEX(Assumptions!$B$5:$B$10,MATCH(E102,Assumptions!$A$5:$A$10,0)))</f>
        <v>5.99</v>
      </c>
      <c r="I102" s="94">
        <f>'Shopping Plan'!E46</f>
        <v>4.99</v>
      </c>
      <c r="J102" s="80">
        <f>INDEX(Assumptions!$D$5:$D$10,MATCH(E102,Assumptions!$A$5:$A$10,0))*IF(C102=1,Assumptions!$B$12,1)</f>
        <v>1.4</v>
      </c>
      <c r="K102" s="90">
        <f>IF(M102&lt;&gt;"",M102,H102*J102)</f>
        <v>8.3859999999999992</v>
      </c>
      <c r="L102" s="90">
        <f>K102-I102</f>
        <v>3.395999999999999</v>
      </c>
      <c r="M102" s="115"/>
    </row>
    <row r="103" spans="1:13" x14ac:dyDescent="0.2">
      <c r="A103" s="95" t="str">
        <f>'Shopping Plan'!A47</f>
        <v>Absolute Superman</v>
      </c>
      <c r="B103" s="95" t="str">
        <f>'Shopping Plan'!B47&amp;""</f>
        <v>21</v>
      </c>
      <c r="C103" s="96">
        <f>'Shopping Plan'!B47</f>
        <v>21</v>
      </c>
      <c r="D103" t="s">
        <v>446</v>
      </c>
      <c r="E103" t="str">
        <f>IF(ISNUMBER(SEARCH("Incentive",D103)),"Incentive 1:25",IF(ISNUMBER(SEARCH("Foil",D103)),"Foil Variant",IF(OR(ISNUMBER(SEARCH("Annual",A103)),ISNUMBER(SEARCH("Special",A103))),"Annual/Special",IF(ISNUMBER(SEARCH("Printing",D103)),"Later Printing",IF(ISNUMBER(SEARCH("Regular",D103)),"Regular","Variant")))))</f>
        <v>Regular</v>
      </c>
      <c r="F103" s="91">
        <v>2026</v>
      </c>
      <c r="G103" t="s">
        <v>445</v>
      </c>
      <c r="H103" s="90">
        <f>IF(F103&gt;=Assumptions!$B$13,INDEX(Assumptions!$C$5:$C$10,MATCH(E103,Assumptions!$A$5:$A$10,0)),INDEX(Assumptions!$B$5:$B$10,MATCH(E103,Assumptions!$A$5:$A$10,0)))</f>
        <v>5.99</v>
      </c>
      <c r="I103" s="94">
        <f>'Shopping Plan'!E47</f>
        <v>4.99</v>
      </c>
      <c r="J103" s="80">
        <f>INDEX(Assumptions!$D$5:$D$10,MATCH(E103,Assumptions!$A$5:$A$10,0))*IF(C103=1,Assumptions!$B$12,1)</f>
        <v>1.4</v>
      </c>
      <c r="K103" s="90">
        <f>IF(M103&lt;&gt;"",M103,H103*J103)</f>
        <v>8.3859999999999992</v>
      </c>
      <c r="L103" s="90">
        <f>K103-I103</f>
        <v>3.395999999999999</v>
      </c>
      <c r="M103" s="115"/>
    </row>
    <row r="104" spans="1:13" x14ac:dyDescent="0.2">
      <c r="A104" s="95" t="str">
        <f>'Shopping Plan'!A50</f>
        <v>Absolute Wonder Woman</v>
      </c>
      <c r="B104" s="95" t="str">
        <f>'Shopping Plan'!B50&amp;""</f>
        <v>16</v>
      </c>
      <c r="C104" s="96">
        <f>'Shopping Plan'!B50</f>
        <v>16</v>
      </c>
      <c r="D104" t="s">
        <v>446</v>
      </c>
      <c r="E104" t="str">
        <f>IF(ISNUMBER(SEARCH("Incentive",D104)),"Incentive 1:25",IF(ISNUMBER(SEARCH("Foil",D104)),"Foil Variant",IF(OR(ISNUMBER(SEARCH("Annual",A104)),ISNUMBER(SEARCH("Special",A104))),"Annual/Special",IF(ISNUMBER(SEARCH("Printing",D104)),"Later Printing",IF(ISNUMBER(SEARCH("Regular",D104)),"Regular","Variant")))))</f>
        <v>Regular</v>
      </c>
      <c r="F104" s="91">
        <v>2025</v>
      </c>
      <c r="G104" t="s">
        <v>445</v>
      </c>
      <c r="H104" s="90">
        <f>IF(F104&gt;=Assumptions!$B$13,INDEX(Assumptions!$C$5:$C$10,MATCH(E104,Assumptions!$A$5:$A$10,0)),INDEX(Assumptions!$B$5:$B$10,MATCH(E104,Assumptions!$A$5:$A$10,0)))</f>
        <v>4.99</v>
      </c>
      <c r="I104" s="94">
        <f>'Shopping Plan'!E50</f>
        <v>4.99</v>
      </c>
      <c r="J104" s="80">
        <f>INDEX(Assumptions!$D$5:$D$10,MATCH(E104,Assumptions!$A$5:$A$10,0))*IF(C104=1,Assumptions!$B$12,1)</f>
        <v>1.4</v>
      </c>
      <c r="K104" s="90">
        <f>IF(M104&lt;&gt;"",M104,H104*J104)</f>
        <v>6.9859999999999998</v>
      </c>
      <c r="L104" s="90">
        <f>K104-I104</f>
        <v>1.9959999999999996</v>
      </c>
      <c r="M104" s="115"/>
    </row>
    <row r="105" spans="1:13" x14ac:dyDescent="0.2">
      <c r="A105" s="95" t="str">
        <f>'Shopping Plan'!A51</f>
        <v>Absolute Wonder Woman</v>
      </c>
      <c r="B105" s="95" t="str">
        <f>'Shopping Plan'!B51&amp;""</f>
        <v>19</v>
      </c>
      <c r="C105" s="96">
        <f>'Shopping Plan'!B51</f>
        <v>19</v>
      </c>
      <c r="D105" t="s">
        <v>446</v>
      </c>
      <c r="E105" t="str">
        <f>IF(ISNUMBER(SEARCH("Incentive",D105)),"Incentive 1:25",IF(ISNUMBER(SEARCH("Foil",D105)),"Foil Variant",IF(OR(ISNUMBER(SEARCH("Annual",A105)),ISNUMBER(SEARCH("Special",A105))),"Annual/Special",IF(ISNUMBER(SEARCH("Printing",D105)),"Later Printing",IF(ISNUMBER(SEARCH("Regular",D105)),"Regular","Variant")))))</f>
        <v>Regular</v>
      </c>
      <c r="F105" s="91">
        <v>2026</v>
      </c>
      <c r="G105" t="s">
        <v>445</v>
      </c>
      <c r="H105" s="90">
        <f>IF(F105&gt;=Assumptions!$B$13,INDEX(Assumptions!$C$5:$C$10,MATCH(E105,Assumptions!$A$5:$A$10,0)),INDEX(Assumptions!$B$5:$B$10,MATCH(E105,Assumptions!$A$5:$A$10,0)))</f>
        <v>5.99</v>
      </c>
      <c r="I105" s="94">
        <f>'Shopping Plan'!E51</f>
        <v>5.99</v>
      </c>
      <c r="J105" s="80">
        <f>INDEX(Assumptions!$D$5:$D$10,MATCH(E105,Assumptions!$A$5:$A$10,0))*IF(C105=1,Assumptions!$B$12,1)</f>
        <v>1.4</v>
      </c>
      <c r="K105" s="90">
        <f>IF(M105&lt;&gt;"",M105,H105*J105)</f>
        <v>8.3859999999999992</v>
      </c>
      <c r="L105" s="90">
        <f>K105-I105</f>
        <v>2.395999999999999</v>
      </c>
      <c r="M105" s="115"/>
    </row>
    <row r="106" spans="1:13" x14ac:dyDescent="0.2">
      <c r="A106" s="95" t="str">
        <f>'Shopping Plan'!A54</f>
        <v>Absolute Flash</v>
      </c>
      <c r="B106" s="95" t="str">
        <f>'Shopping Plan'!B54&amp;""</f>
        <v>14</v>
      </c>
      <c r="C106" s="96">
        <f>'Shopping Plan'!B54</f>
        <v>14</v>
      </c>
      <c r="D106" t="s">
        <v>446</v>
      </c>
      <c r="E106" t="str">
        <f>IF(ISNUMBER(SEARCH("Incentive",D106)),"Incentive 1:25",IF(ISNUMBER(SEARCH("Foil",D106)),"Foil Variant",IF(OR(ISNUMBER(SEARCH("Annual",A106)),ISNUMBER(SEARCH("Special",A106))),"Annual/Special",IF(ISNUMBER(SEARCH("Printing",D106)),"Later Printing",IF(ISNUMBER(SEARCH("Regular",D106)),"Regular","Variant")))))</f>
        <v>Regular</v>
      </c>
      <c r="F106" s="91">
        <v>2026</v>
      </c>
      <c r="G106" t="s">
        <v>445</v>
      </c>
      <c r="H106" s="90">
        <f>IF(F106&gt;=Assumptions!$B$13,INDEX(Assumptions!$C$5:$C$10,MATCH(E106,Assumptions!$A$5:$A$10,0)),INDEX(Assumptions!$B$5:$B$10,MATCH(E106,Assumptions!$A$5:$A$10,0)))</f>
        <v>5.99</v>
      </c>
      <c r="I106" s="94">
        <f>'Shopping Plan'!E54</f>
        <v>4.99</v>
      </c>
      <c r="J106" s="80">
        <f>INDEX(Assumptions!$D$5:$D$10,MATCH(E106,Assumptions!$A$5:$A$10,0))*IF(C106=1,Assumptions!$B$12,1)</f>
        <v>1.4</v>
      </c>
      <c r="K106" s="90">
        <f>IF(M106&lt;&gt;"",M106,H106*J106)</f>
        <v>8.3859999999999992</v>
      </c>
      <c r="L106" s="90">
        <f>K106-I106</f>
        <v>3.395999999999999</v>
      </c>
      <c r="M106" s="115"/>
    </row>
    <row r="107" spans="1:13" x14ac:dyDescent="0.2">
      <c r="A107" s="95" t="str">
        <f>'Shopping Plan'!A55</f>
        <v>Absolute Flash</v>
      </c>
      <c r="B107" s="95" t="str">
        <f>'Shopping Plan'!B55&amp;""</f>
        <v>15</v>
      </c>
      <c r="C107" s="96">
        <f>'Shopping Plan'!B55</f>
        <v>15</v>
      </c>
      <c r="D107" t="s">
        <v>446</v>
      </c>
      <c r="E107" t="str">
        <f>IF(ISNUMBER(SEARCH("Incentive",D107)),"Incentive 1:25",IF(ISNUMBER(SEARCH("Foil",D107)),"Foil Variant",IF(OR(ISNUMBER(SEARCH("Annual",A107)),ISNUMBER(SEARCH("Special",A107))),"Annual/Special",IF(ISNUMBER(SEARCH("Printing",D107)),"Later Printing",IF(ISNUMBER(SEARCH("Regular",D107)),"Regular","Variant")))))</f>
        <v>Regular</v>
      </c>
      <c r="F107" s="91">
        <v>2026</v>
      </c>
      <c r="G107" t="s">
        <v>445</v>
      </c>
      <c r="H107" s="90">
        <f>IF(F107&gt;=Assumptions!$B$13,INDEX(Assumptions!$C$5:$C$10,MATCH(E107,Assumptions!$A$5:$A$10,0)),INDEX(Assumptions!$B$5:$B$10,MATCH(E107,Assumptions!$A$5:$A$10,0)))</f>
        <v>5.99</v>
      </c>
      <c r="I107" s="94">
        <f>'Shopping Plan'!E55</f>
        <v>4.99</v>
      </c>
      <c r="J107" s="80">
        <f>INDEX(Assumptions!$D$5:$D$10,MATCH(E107,Assumptions!$A$5:$A$10,0))*IF(C107=1,Assumptions!$B$12,1)</f>
        <v>1.4</v>
      </c>
      <c r="K107" s="90">
        <f>IF(M107&lt;&gt;"",M107,H107*J107)</f>
        <v>8.3859999999999992</v>
      </c>
      <c r="L107" s="90">
        <f>K107-I107</f>
        <v>3.395999999999999</v>
      </c>
      <c r="M107" s="115"/>
    </row>
    <row r="108" spans="1:13" x14ac:dyDescent="0.2">
      <c r="A108" s="95" t="str">
        <f>'Shopping Plan'!A56</f>
        <v>Absolute Flash</v>
      </c>
      <c r="B108" s="95" t="str">
        <f>'Shopping Plan'!B56&amp;""</f>
        <v>16</v>
      </c>
      <c r="C108" s="96">
        <f>'Shopping Plan'!B56</f>
        <v>16</v>
      </c>
      <c r="D108" t="s">
        <v>446</v>
      </c>
      <c r="E108" t="str">
        <f>IF(ISNUMBER(SEARCH("Incentive",D108)),"Incentive 1:25",IF(ISNUMBER(SEARCH("Foil",D108)),"Foil Variant",IF(OR(ISNUMBER(SEARCH("Annual",A108)),ISNUMBER(SEARCH("Special",A108))),"Annual/Special",IF(ISNUMBER(SEARCH("Printing",D108)),"Later Printing",IF(ISNUMBER(SEARCH("Regular",D108)),"Regular","Variant")))))</f>
        <v>Regular</v>
      </c>
      <c r="F108" s="91">
        <v>2026</v>
      </c>
      <c r="G108" t="s">
        <v>445</v>
      </c>
      <c r="H108" s="90">
        <f>IF(F108&gt;=Assumptions!$B$13,INDEX(Assumptions!$C$5:$C$10,MATCH(E108,Assumptions!$A$5:$A$10,0)),INDEX(Assumptions!$B$5:$B$10,MATCH(E108,Assumptions!$A$5:$A$10,0)))</f>
        <v>5.99</v>
      </c>
      <c r="I108" s="94">
        <f>'Shopping Plan'!E56</f>
        <v>4.99</v>
      </c>
      <c r="J108" s="80">
        <f>INDEX(Assumptions!$D$5:$D$10,MATCH(E108,Assumptions!$A$5:$A$10,0))*IF(C108=1,Assumptions!$B$12,1)</f>
        <v>1.4</v>
      </c>
      <c r="K108" s="90">
        <f>IF(M108&lt;&gt;"",M108,H108*J108)</f>
        <v>8.3859999999999992</v>
      </c>
      <c r="L108" s="90">
        <f>K108-I108</f>
        <v>3.395999999999999</v>
      </c>
      <c r="M108" s="115"/>
    </row>
    <row r="109" spans="1:13" x14ac:dyDescent="0.2">
      <c r="A109" s="95" t="str">
        <f>'Shopping Plan'!A58</f>
        <v>Absolute Green Lantern</v>
      </c>
      <c r="B109" s="95" t="str">
        <f>'Shopping Plan'!B58&amp;""</f>
        <v>14</v>
      </c>
      <c r="C109" s="96">
        <f>'Shopping Plan'!B58</f>
        <v>14</v>
      </c>
      <c r="D109" t="s">
        <v>446</v>
      </c>
      <c r="E109" t="str">
        <f>IF(ISNUMBER(SEARCH("Incentive",D109)),"Incentive 1:25",IF(ISNUMBER(SEARCH("Foil",D109)),"Foil Variant",IF(OR(ISNUMBER(SEARCH("Annual",A109)),ISNUMBER(SEARCH("Special",A109))),"Annual/Special",IF(ISNUMBER(SEARCH("Printing",D109)),"Later Printing",IF(ISNUMBER(SEARCH("Regular",D109)),"Regular","Variant")))))</f>
        <v>Regular</v>
      </c>
      <c r="F109" s="91">
        <v>2026</v>
      </c>
      <c r="G109" t="s">
        <v>445</v>
      </c>
      <c r="H109" s="90">
        <f>IF(F109&gt;=Assumptions!$B$13,INDEX(Assumptions!$C$5:$C$10,MATCH(E109,Assumptions!$A$5:$A$10,0)),INDEX(Assumptions!$B$5:$B$10,MATCH(E109,Assumptions!$A$5:$A$10,0)))</f>
        <v>5.99</v>
      </c>
      <c r="I109" s="94">
        <f>'Shopping Plan'!E58</f>
        <v>5.99</v>
      </c>
      <c r="J109" s="80">
        <f>INDEX(Assumptions!$D$5:$D$10,MATCH(E109,Assumptions!$A$5:$A$10,0))*IF(C109=1,Assumptions!$B$12,1)</f>
        <v>1.4</v>
      </c>
      <c r="K109" s="90">
        <f>IF(M109&lt;&gt;"",M109,H109*J109)</f>
        <v>8.3859999999999992</v>
      </c>
      <c r="L109" s="90">
        <f>K109-I109</f>
        <v>2.395999999999999</v>
      </c>
      <c r="M109" s="115"/>
    </row>
    <row r="110" spans="1:13" x14ac:dyDescent="0.2">
      <c r="A110" s="95" t="str">
        <f>'Shopping Plan'!A59</f>
        <v>Absolute Green Lantern</v>
      </c>
      <c r="B110" s="95" t="str">
        <f>'Shopping Plan'!B59&amp;""</f>
        <v>15</v>
      </c>
      <c r="C110" s="96">
        <f>'Shopping Plan'!B59</f>
        <v>15</v>
      </c>
      <c r="D110" t="s">
        <v>446</v>
      </c>
      <c r="E110" t="str">
        <f>IF(ISNUMBER(SEARCH("Incentive",D110)),"Incentive 1:25",IF(ISNUMBER(SEARCH("Foil",D110)),"Foil Variant",IF(OR(ISNUMBER(SEARCH("Annual",A110)),ISNUMBER(SEARCH("Special",A110))),"Annual/Special",IF(ISNUMBER(SEARCH("Printing",D110)),"Later Printing",IF(ISNUMBER(SEARCH("Regular",D110)),"Regular","Variant")))))</f>
        <v>Regular</v>
      </c>
      <c r="F110" s="91">
        <v>2026</v>
      </c>
      <c r="G110" t="s">
        <v>445</v>
      </c>
      <c r="H110" s="90">
        <f>IF(F110&gt;=Assumptions!$B$13,INDEX(Assumptions!$C$5:$C$10,MATCH(E110,Assumptions!$A$5:$A$10,0)),INDEX(Assumptions!$B$5:$B$10,MATCH(E110,Assumptions!$A$5:$A$10,0)))</f>
        <v>5.99</v>
      </c>
      <c r="I110" s="94">
        <f>'Shopping Plan'!E59</f>
        <v>5.99</v>
      </c>
      <c r="J110" s="80">
        <f>INDEX(Assumptions!$D$5:$D$10,MATCH(E110,Assumptions!$A$5:$A$10,0))*IF(C110=1,Assumptions!$B$12,1)</f>
        <v>1.4</v>
      </c>
      <c r="K110" s="90">
        <f>IF(M110&lt;&gt;"",M110,H110*J110)</f>
        <v>8.3859999999999992</v>
      </c>
      <c r="L110" s="90">
        <f>K110-I110</f>
        <v>2.395999999999999</v>
      </c>
      <c r="M110" s="115"/>
    </row>
    <row r="111" spans="1:13" x14ac:dyDescent="0.2">
      <c r="A111" s="95" t="str">
        <f>'Shopping Plan'!A60</f>
        <v>Absolute Green Lantern</v>
      </c>
      <c r="B111" s="95" t="str">
        <f>'Shopping Plan'!B60&amp;""</f>
        <v>16</v>
      </c>
      <c r="C111" s="96">
        <f>'Shopping Plan'!B60</f>
        <v>16</v>
      </c>
      <c r="D111" t="s">
        <v>446</v>
      </c>
      <c r="E111" t="str">
        <f>IF(ISNUMBER(SEARCH("Incentive",D111)),"Incentive 1:25",IF(ISNUMBER(SEARCH("Foil",D111)),"Foil Variant",IF(OR(ISNUMBER(SEARCH("Annual",A111)),ISNUMBER(SEARCH("Special",A111))),"Annual/Special",IF(ISNUMBER(SEARCH("Printing",D111)),"Later Printing",IF(ISNUMBER(SEARCH("Regular",D111)),"Regular","Variant")))))</f>
        <v>Regular</v>
      </c>
      <c r="F111" s="91">
        <v>2026</v>
      </c>
      <c r="G111" t="s">
        <v>445</v>
      </c>
      <c r="H111" s="90">
        <f>IF(F111&gt;=Assumptions!$B$13,INDEX(Assumptions!$C$5:$C$10,MATCH(E111,Assumptions!$A$5:$A$10,0)),INDEX(Assumptions!$B$5:$B$10,MATCH(E111,Assumptions!$A$5:$A$10,0)))</f>
        <v>5.99</v>
      </c>
      <c r="I111" s="94">
        <f>'Shopping Plan'!E60</f>
        <v>5.99</v>
      </c>
      <c r="J111" s="80">
        <f>INDEX(Assumptions!$D$5:$D$10,MATCH(E111,Assumptions!$A$5:$A$10,0))*IF(C111=1,Assumptions!$B$12,1)</f>
        <v>1.4</v>
      </c>
      <c r="K111" s="90">
        <f>IF(M111&lt;&gt;"",M111,H111*J111)</f>
        <v>8.3859999999999992</v>
      </c>
      <c r="L111" s="90">
        <f>K111-I111</f>
        <v>2.395999999999999</v>
      </c>
      <c r="M111" s="115"/>
    </row>
    <row r="112" spans="1:13" x14ac:dyDescent="0.2">
      <c r="A112" s="95" t="str">
        <f>'Shopping Plan'!A61</f>
        <v>Absolute Martian Manhunter</v>
      </c>
      <c r="B112" s="95" t="str">
        <f>'Shopping Plan'!B61&amp;""</f>
        <v>12</v>
      </c>
      <c r="C112" s="96">
        <f>'Shopping Plan'!B61</f>
        <v>12</v>
      </c>
      <c r="D112" t="s">
        <v>446</v>
      </c>
      <c r="E112" t="str">
        <f>IF(ISNUMBER(SEARCH("Incentive",D112)),"Incentive 1:25",IF(ISNUMBER(SEARCH("Foil",D112)),"Foil Variant",IF(OR(ISNUMBER(SEARCH("Annual",A112)),ISNUMBER(SEARCH("Special",A112))),"Annual/Special",IF(ISNUMBER(SEARCH("Printing",D112)),"Later Printing",IF(ISNUMBER(SEARCH("Regular",D112)),"Regular","Variant")))))</f>
        <v>Regular</v>
      </c>
      <c r="F112" s="91">
        <v>2026</v>
      </c>
      <c r="G112" t="s">
        <v>445</v>
      </c>
      <c r="H112" s="90">
        <f>IF(F112&gt;=Assumptions!$B$13,INDEX(Assumptions!$C$5:$C$10,MATCH(E112,Assumptions!$A$5:$A$10,0)),INDEX(Assumptions!$B$5:$B$10,MATCH(E112,Assumptions!$A$5:$A$10,0)))</f>
        <v>5.99</v>
      </c>
      <c r="I112" s="94">
        <f>'Shopping Plan'!E61</f>
        <v>5.99</v>
      </c>
      <c r="J112" s="80">
        <f>INDEX(Assumptions!$D$5:$D$10,MATCH(E112,Assumptions!$A$5:$A$10,0))*IF(C112=1,Assumptions!$B$12,1)</f>
        <v>1.4</v>
      </c>
      <c r="K112" s="90">
        <f>IF(M112&lt;&gt;"",M112,H112*J112)</f>
        <v>8.3859999999999992</v>
      </c>
      <c r="L112" s="90">
        <f>K112-I112</f>
        <v>2.395999999999999</v>
      </c>
      <c r="M112" s="115"/>
    </row>
    <row r="113" spans="1:13" x14ac:dyDescent="0.2">
      <c r="A113" s="95" t="str">
        <f>'Shopping Plan'!A62</f>
        <v>Absolute Batman</v>
      </c>
      <c r="B113" s="95" t="str">
        <f>'Shopping Plan'!B62&amp;""</f>
        <v>8</v>
      </c>
      <c r="C113" s="96">
        <f>'Shopping Plan'!B62</f>
        <v>8</v>
      </c>
      <c r="D113" t="s">
        <v>446</v>
      </c>
      <c r="E113" t="str">
        <f>IF(ISNUMBER(SEARCH("Incentive",D113)),"Incentive 1:25",IF(ISNUMBER(SEARCH("Foil",D113)),"Foil Variant",IF(OR(ISNUMBER(SEARCH("Annual",A113)),ISNUMBER(SEARCH("Special",A113))),"Annual/Special",IF(ISNUMBER(SEARCH("Printing",D113)),"Later Printing",IF(ISNUMBER(SEARCH("Regular",D113)),"Regular","Variant")))))</f>
        <v>Regular</v>
      </c>
      <c r="F113" s="91">
        <v>2025</v>
      </c>
      <c r="G113" t="s">
        <v>445</v>
      </c>
      <c r="H113" s="90">
        <f>IF(F113&gt;=Assumptions!$B$13,INDEX(Assumptions!$C$5:$C$10,MATCH(E113,Assumptions!$A$5:$A$10,0)),INDEX(Assumptions!$B$5:$B$10,MATCH(E113,Assumptions!$A$5:$A$10,0)))</f>
        <v>4.99</v>
      </c>
      <c r="I113" s="94">
        <f>'Shopping Plan'!E62</f>
        <v>4.99</v>
      </c>
      <c r="J113" s="80">
        <f>INDEX(Assumptions!$D$5:$D$10,MATCH(E113,Assumptions!$A$5:$A$10,0))*IF(C113=1,Assumptions!$B$12,1)</f>
        <v>1.4</v>
      </c>
      <c r="K113" s="90">
        <f>IF(M113&lt;&gt;"",M113,H113*J113)</f>
        <v>6.9859999999999998</v>
      </c>
      <c r="L113" s="90">
        <f>K113-I113</f>
        <v>1.9959999999999996</v>
      </c>
      <c r="M113" s="115"/>
    </row>
    <row r="114" spans="1:13" x14ac:dyDescent="0.2">
      <c r="A114" s="95" t="str">
        <f>'Shopping Plan'!A63</f>
        <v>Absolute Batman</v>
      </c>
      <c r="B114" s="95" t="str">
        <f>'Shopping Plan'!B63&amp;""</f>
        <v>10</v>
      </c>
      <c r="C114" s="96">
        <f>'Shopping Plan'!B63</f>
        <v>10</v>
      </c>
      <c r="D114" t="s">
        <v>446</v>
      </c>
      <c r="E114" t="str">
        <f>IF(ISNUMBER(SEARCH("Incentive",D114)),"Incentive 1:25",IF(ISNUMBER(SEARCH("Foil",D114)),"Foil Variant",IF(OR(ISNUMBER(SEARCH("Annual",A114)),ISNUMBER(SEARCH("Special",A114))),"Annual/Special",IF(ISNUMBER(SEARCH("Printing",D114)),"Later Printing",IF(ISNUMBER(SEARCH("Regular",D114)),"Regular","Variant")))))</f>
        <v>Regular</v>
      </c>
      <c r="F114" s="91">
        <v>2025</v>
      </c>
      <c r="G114" t="s">
        <v>445</v>
      </c>
      <c r="H114" s="90">
        <f>IF(F114&gt;=Assumptions!$B$13,INDEX(Assumptions!$C$5:$C$10,MATCH(E114,Assumptions!$A$5:$A$10,0)),INDEX(Assumptions!$B$5:$B$10,MATCH(E114,Assumptions!$A$5:$A$10,0)))</f>
        <v>4.99</v>
      </c>
      <c r="I114" s="94">
        <f>'Shopping Plan'!E63</f>
        <v>4.99</v>
      </c>
      <c r="J114" s="80">
        <f>INDEX(Assumptions!$D$5:$D$10,MATCH(E114,Assumptions!$A$5:$A$10,0))*IF(C114=1,Assumptions!$B$12,1)</f>
        <v>1.4</v>
      </c>
      <c r="K114" s="90">
        <f>IF(M114&lt;&gt;"",M114,H114*J114)</f>
        <v>6.9859999999999998</v>
      </c>
      <c r="L114" s="90">
        <f>K114-I114</f>
        <v>1.9959999999999996</v>
      </c>
      <c r="M114" s="115"/>
    </row>
    <row r="115" spans="1:13" x14ac:dyDescent="0.2">
      <c r="A115" s="95" t="str">
        <f>'Shopping Plan'!A64</f>
        <v>Absolute Batman</v>
      </c>
      <c r="B115" s="95" t="str">
        <f>'Shopping Plan'!B64&amp;""</f>
        <v>11</v>
      </c>
      <c r="C115" s="96">
        <f>'Shopping Plan'!B64</f>
        <v>11</v>
      </c>
      <c r="D115" t="s">
        <v>446</v>
      </c>
      <c r="E115" t="str">
        <f>IF(ISNUMBER(SEARCH("Incentive",D115)),"Incentive 1:25",IF(ISNUMBER(SEARCH("Foil",D115)),"Foil Variant",IF(OR(ISNUMBER(SEARCH("Annual",A115)),ISNUMBER(SEARCH("Special",A115))),"Annual/Special",IF(ISNUMBER(SEARCH("Printing",D115)),"Later Printing",IF(ISNUMBER(SEARCH("Regular",D115)),"Regular","Variant")))))</f>
        <v>Regular</v>
      </c>
      <c r="F115" s="91">
        <v>2025</v>
      </c>
      <c r="G115" t="s">
        <v>445</v>
      </c>
      <c r="H115" s="90">
        <f>IF(F115&gt;=Assumptions!$B$13,INDEX(Assumptions!$C$5:$C$10,MATCH(E115,Assumptions!$A$5:$A$10,0)),INDEX(Assumptions!$B$5:$B$10,MATCH(E115,Assumptions!$A$5:$A$10,0)))</f>
        <v>4.99</v>
      </c>
      <c r="I115" s="94">
        <f>'Shopping Plan'!E64</f>
        <v>4.99</v>
      </c>
      <c r="J115" s="80">
        <f>INDEX(Assumptions!$D$5:$D$10,MATCH(E115,Assumptions!$A$5:$A$10,0))*IF(C115=1,Assumptions!$B$12,1)</f>
        <v>1.4</v>
      </c>
      <c r="K115" s="90">
        <f>IF(M115&lt;&gt;"",M115,H115*J115)</f>
        <v>6.9859999999999998</v>
      </c>
      <c r="L115" s="90">
        <f>K115-I115</f>
        <v>1.9959999999999996</v>
      </c>
      <c r="M115" s="115"/>
    </row>
    <row r="116" spans="1:13" x14ac:dyDescent="0.2">
      <c r="A116" s="95" t="str">
        <f>'Shopping Plan'!A65</f>
        <v>Absolute Batman</v>
      </c>
      <c r="B116" s="95" t="str">
        <f>'Shopping Plan'!B65&amp;""</f>
        <v>15</v>
      </c>
      <c r="C116" s="96">
        <f>'Shopping Plan'!B65</f>
        <v>15</v>
      </c>
      <c r="D116" t="s">
        <v>446</v>
      </c>
      <c r="E116" t="str">
        <f>IF(ISNUMBER(SEARCH("Incentive",D116)),"Incentive 1:25",IF(ISNUMBER(SEARCH("Foil",D116)),"Foil Variant",IF(OR(ISNUMBER(SEARCH("Annual",A116)),ISNUMBER(SEARCH("Special",A116))),"Annual/Special",IF(ISNUMBER(SEARCH("Printing",D116)),"Later Printing",IF(ISNUMBER(SEARCH("Regular",D116)),"Regular","Variant")))))</f>
        <v>Regular</v>
      </c>
      <c r="F116" s="91">
        <v>2025</v>
      </c>
      <c r="G116" t="s">
        <v>445</v>
      </c>
      <c r="H116" s="90">
        <f>IF(F116&gt;=Assumptions!$B$13,INDEX(Assumptions!$C$5:$C$10,MATCH(E116,Assumptions!$A$5:$A$10,0)),INDEX(Assumptions!$B$5:$B$10,MATCH(E116,Assumptions!$A$5:$A$10,0)))</f>
        <v>4.99</v>
      </c>
      <c r="I116" s="94">
        <f>'Shopping Plan'!E65</f>
        <v>5.99</v>
      </c>
      <c r="J116" s="80">
        <f>INDEX(Assumptions!$D$5:$D$10,MATCH(E116,Assumptions!$A$5:$A$10,0))*IF(C116=1,Assumptions!$B$12,1)</f>
        <v>1.4</v>
      </c>
      <c r="K116" s="90">
        <f>IF(M116&lt;&gt;"",M116,H116*J116)</f>
        <v>6.9859999999999998</v>
      </c>
      <c r="L116" s="90">
        <f>K116-I116</f>
        <v>0.99599999999999955</v>
      </c>
      <c r="M116" s="115"/>
    </row>
    <row r="117" spans="1:13" x14ac:dyDescent="0.2">
      <c r="A117" s="95" t="str">
        <f>'Shopping Plan'!A68</f>
        <v>Absolute Flash</v>
      </c>
      <c r="B117" s="95" t="str">
        <f>'Shopping Plan'!B68&amp;""</f>
        <v>10</v>
      </c>
      <c r="C117" s="96">
        <f>'Shopping Plan'!B68</f>
        <v>10</v>
      </c>
      <c r="D117" t="s">
        <v>446</v>
      </c>
      <c r="E117" t="str">
        <f>IF(ISNUMBER(SEARCH("Incentive",D117)),"Incentive 1:25",IF(ISNUMBER(SEARCH("Foil",D117)),"Foil Variant",IF(OR(ISNUMBER(SEARCH("Annual",A117)),ISNUMBER(SEARCH("Special",A117))),"Annual/Special",IF(ISNUMBER(SEARCH("Printing",D117)),"Later Printing",IF(ISNUMBER(SEARCH("Regular",D117)),"Regular","Variant")))))</f>
        <v>Regular</v>
      </c>
      <c r="F117" s="91">
        <v>2025</v>
      </c>
      <c r="G117" t="s">
        <v>445</v>
      </c>
      <c r="H117" s="90">
        <f>IF(F117&gt;=Assumptions!$B$13,INDEX(Assumptions!$C$5:$C$10,MATCH(E117,Assumptions!$A$5:$A$10,0)),INDEX(Assumptions!$B$5:$B$10,MATCH(E117,Assumptions!$A$5:$A$10,0)))</f>
        <v>4.99</v>
      </c>
      <c r="I117" s="94">
        <f>'Shopping Plan'!E68</f>
        <v>5.99</v>
      </c>
      <c r="J117" s="80">
        <f>INDEX(Assumptions!$D$5:$D$10,MATCH(E117,Assumptions!$A$5:$A$10,0))*IF(C117=1,Assumptions!$B$12,1)</f>
        <v>1.4</v>
      </c>
      <c r="K117" s="90">
        <f>IF(M117&lt;&gt;"",M117,H117*J117)</f>
        <v>6.9859999999999998</v>
      </c>
      <c r="L117" s="90">
        <f>K117-I117</f>
        <v>0.99599999999999955</v>
      </c>
      <c r="M117" s="115"/>
    </row>
    <row r="118" spans="1:13" x14ac:dyDescent="0.2">
      <c r="A118" s="95" t="str">
        <f>'Shopping Plan'!A69</f>
        <v>Absolute Green Lantern</v>
      </c>
      <c r="B118" s="95" t="str">
        <f>'Shopping Plan'!B69&amp;""</f>
        <v>3</v>
      </c>
      <c r="C118" s="96">
        <f>'Shopping Plan'!B69</f>
        <v>3</v>
      </c>
      <c r="D118" t="s">
        <v>446</v>
      </c>
      <c r="E118" t="str">
        <f>IF(ISNUMBER(SEARCH("Incentive",D118)),"Incentive 1:25",IF(ISNUMBER(SEARCH("Foil",D118)),"Foil Variant",IF(OR(ISNUMBER(SEARCH("Annual",A118)),ISNUMBER(SEARCH("Special",A118))),"Annual/Special",IF(ISNUMBER(SEARCH("Printing",D118)),"Later Printing",IF(ISNUMBER(SEARCH("Regular",D118)),"Regular","Variant")))))</f>
        <v>Regular</v>
      </c>
      <c r="F118" s="91">
        <v>2025</v>
      </c>
      <c r="G118" t="s">
        <v>445</v>
      </c>
      <c r="H118" s="90">
        <f>IF(F118&gt;=Assumptions!$B$13,INDEX(Assumptions!$C$5:$C$10,MATCH(E118,Assumptions!$A$5:$A$10,0)),INDEX(Assumptions!$B$5:$B$10,MATCH(E118,Assumptions!$A$5:$A$10,0)))</f>
        <v>4.99</v>
      </c>
      <c r="I118" s="94">
        <f>'Shopping Plan'!E69</f>
        <v>4.99</v>
      </c>
      <c r="J118" s="80">
        <f>INDEX(Assumptions!$D$5:$D$10,MATCH(E118,Assumptions!$A$5:$A$10,0))*IF(C118=1,Assumptions!$B$12,1)</f>
        <v>1.4</v>
      </c>
      <c r="K118" s="90">
        <f>IF(M118&lt;&gt;"",M118,H118*J118)</f>
        <v>6.9859999999999998</v>
      </c>
      <c r="L118" s="90">
        <f>K118-I118</f>
        <v>1.9959999999999996</v>
      </c>
      <c r="M118" s="115"/>
    </row>
    <row r="119" spans="1:13" x14ac:dyDescent="0.2">
      <c r="A119" s="95" t="str">
        <f>'Shopping Plan'!A52</f>
        <v>Absolute Wonder Woman</v>
      </c>
      <c r="B119" s="95" t="str">
        <f>'Shopping Plan'!B52&amp;""</f>
        <v>20</v>
      </c>
      <c r="C119" s="96">
        <f>'Shopping Plan'!B52</f>
        <v>20</v>
      </c>
      <c r="D119" t="s">
        <v>622</v>
      </c>
      <c r="E119" t="str">
        <f t="shared" ref="E119:E121" si="0">IF(ISNUMBER(SEARCH("Incentive",D119)),"Incentive 1:25",IF(ISNUMBER(SEARCH("Foil",D119)),"Foil Variant",IF(OR(ISNUMBER(SEARCH("Annual",A119)),ISNUMBER(SEARCH("Special",A119))),"Annual/Special",IF(ISNUMBER(SEARCH("Printing",D119)),"Later Printing",IF(ISNUMBER(SEARCH("Regular",D119)),"Regular","Variant")))))</f>
        <v>Regular</v>
      </c>
      <c r="F119" s="91">
        <v>2026</v>
      </c>
      <c r="G119" t="s">
        <v>445</v>
      </c>
      <c r="H119" s="90">
        <f>IF(F119&gt;=Assumptions!$B$13,INDEX(Assumptions!$C$5:$C$10,MATCH(E119,Assumptions!$A$5:$A$10,0)),INDEX(Assumptions!$B$5:$B$10,MATCH(E119,Assumptions!$A$5:$A$10,0)))</f>
        <v>5.99</v>
      </c>
      <c r="I119" s="94">
        <f>'Shopping Plan'!E52</f>
        <v>5.5</v>
      </c>
      <c r="J119" s="80">
        <f>INDEX(Assumptions!$D$5:$D$10,MATCH(E119,Assumptions!$A$5:$A$10,0))*IF(C119=1,Assumptions!$B$12,1)</f>
        <v>1.4</v>
      </c>
      <c r="K119" s="90">
        <f>IF(M119&lt;&gt;"",M119,H119*J119)</f>
        <v>8.3859999999999992</v>
      </c>
      <c r="L119" s="90">
        <f>K119-I119</f>
        <v>2.8859999999999992</v>
      </c>
      <c r="M119" s="115"/>
    </row>
    <row r="120" spans="1:13" x14ac:dyDescent="0.2">
      <c r="A120" s="95" t="str">
        <f>'Shopping Plan'!A71</f>
        <v>Absolute Martian Manhunter</v>
      </c>
      <c r="B120" s="95" t="str">
        <f>'Shopping Plan'!B71&amp;""</f>
        <v>8</v>
      </c>
      <c r="C120" s="96">
        <f>'Shopping Plan'!B71</f>
        <v>8</v>
      </c>
      <c r="D120" t="s">
        <v>622</v>
      </c>
      <c r="E120" t="str">
        <f t="shared" si="0"/>
        <v>Regular</v>
      </c>
      <c r="F120" s="91">
        <v>2025</v>
      </c>
      <c r="G120" t="s">
        <v>445</v>
      </c>
      <c r="H120" s="90">
        <f>IF(F120&gt;=Assumptions!$B$13,INDEX(Assumptions!$C$5:$C$10,MATCH(E120,Assumptions!$A$5:$A$10,0)),INDEX(Assumptions!$B$5:$B$10,MATCH(E120,Assumptions!$A$5:$A$10,0)))</f>
        <v>4.99</v>
      </c>
      <c r="I120" s="94">
        <f>'Shopping Plan'!E71</f>
        <v>18</v>
      </c>
      <c r="J120" s="80">
        <f>INDEX(Assumptions!$D$5:$D$10,MATCH(E120,Assumptions!$A$5:$A$10,0))*IF(C120=1,Assumptions!$B$12,1)</f>
        <v>1.4</v>
      </c>
      <c r="K120" s="90">
        <f>IF(M120&lt;&gt;"",M120,H120*J120)</f>
        <v>6.9859999999999998</v>
      </c>
      <c r="L120" s="90">
        <f>K120-I120</f>
        <v>-11.013999999999999</v>
      </c>
      <c r="M120" s="115"/>
    </row>
    <row r="121" spans="1:13" x14ac:dyDescent="0.2">
      <c r="A121" s="95" t="str">
        <f>'Shopping Plan'!A72</f>
        <v>Absolute Martian Manhunter</v>
      </c>
      <c r="B121" s="95" t="str">
        <f>'Shopping Plan'!B72&amp;""</f>
        <v>9</v>
      </c>
      <c r="C121" s="96">
        <f>'Shopping Plan'!B72</f>
        <v>9</v>
      </c>
      <c r="D121" t="s">
        <v>622</v>
      </c>
      <c r="E121" t="str">
        <f t="shared" si="0"/>
        <v>Regular</v>
      </c>
      <c r="F121" s="91">
        <v>2025</v>
      </c>
      <c r="G121" t="s">
        <v>445</v>
      </c>
      <c r="H121" s="90">
        <f>IF(F121&gt;=Assumptions!$B$13,INDEX(Assumptions!$C$5:$C$10,MATCH(E121,Assumptions!$A$5:$A$10,0)),INDEX(Assumptions!$B$5:$B$10,MATCH(E121,Assumptions!$A$5:$A$10,0)))</f>
        <v>4.99</v>
      </c>
      <c r="I121" s="94">
        <f>'Shopping Plan'!E72</f>
        <v>9</v>
      </c>
      <c r="J121" s="80">
        <f>INDEX(Assumptions!$D$5:$D$10,MATCH(E121,Assumptions!$A$5:$A$10,0))*IF(C121=1,Assumptions!$B$12,1)</f>
        <v>1.4</v>
      </c>
      <c r="K121" s="90">
        <f>IF(M121&lt;&gt;"",M121,H121*J121)</f>
        <v>6.9859999999999998</v>
      </c>
      <c r="L121" s="90">
        <f>K121-I121</f>
        <v>-2.0140000000000002</v>
      </c>
      <c r="M121" s="115"/>
    </row>
    <row r="122" spans="1:13" x14ac:dyDescent="0.2">
      <c r="A122" s="95" t="str">
        <f>'Shopping Plan'!A73</f>
        <v>Absolute WW 2026 Annual</v>
      </c>
      <c r="B122" s="95" t="str">
        <f>'Shopping Plan'!B73&amp;""</f>
        <v>1</v>
      </c>
      <c r="C122" s="96">
        <f>'Shopping Plan'!B73</f>
        <v>1</v>
      </c>
      <c r="D122" t="s">
        <v>446</v>
      </c>
      <c r="E122" t="str">
        <f>IF(ISNUMBER(SEARCH("Incentive",D122)),"Incentive 1:25",IF(ISNUMBER(SEARCH("Foil",D122)),"Foil Variant",IF(OR(ISNUMBER(SEARCH("Annual",A122)),ISNUMBER(SEARCH("Special",A122))),"Annual/Special",IF(ISNUMBER(SEARCH("Printing",D122)),"Later Printing",IF(ISNUMBER(SEARCH("Regular",D122)),"Regular","Variant")))))</f>
        <v>Annual/Special</v>
      </c>
      <c r="F122" s="91">
        <v>2026</v>
      </c>
      <c r="G122" t="s">
        <v>445</v>
      </c>
      <c r="H122" s="90">
        <f>IF(F122&gt;=Assumptions!$B$13,INDEX(Assumptions!$C$5:$C$10,MATCH(E122,Assumptions!$A$5:$A$10,0)),INDEX(Assumptions!$B$5:$B$10,MATCH(E122,Assumptions!$A$5:$A$10,0)))</f>
        <v>6.99</v>
      </c>
      <c r="I122" s="94">
        <f>'Shopping Plan'!E73</f>
        <v>5.99</v>
      </c>
      <c r="J122" s="80">
        <f>INDEX(Assumptions!$D$5:$D$10,MATCH(E122,Assumptions!$A$5:$A$10,0))*IF(C122=1,Assumptions!$B$12,1)</f>
        <v>3</v>
      </c>
      <c r="K122" s="90">
        <f>IF(M122&lt;&gt;"",M122,H122*J122)</f>
        <v>20.97</v>
      </c>
      <c r="L122" s="90">
        <f>K122-I122</f>
        <v>14.979999999999999</v>
      </c>
      <c r="M122" s="115"/>
    </row>
    <row r="124" spans="1:13" x14ac:dyDescent="0.2">
      <c r="A124" s="92" t="s">
        <v>447</v>
      </c>
      <c r="B124" s="92"/>
      <c r="C124" s="92" t="str">
        <f>COUNTA(A2:A122)&amp;" copies"</f>
        <v>121 copies</v>
      </c>
      <c r="D124" s="92"/>
      <c r="E124" s="92"/>
      <c r="F124" s="92"/>
      <c r="G124" s="92"/>
      <c r="H124" s="92"/>
      <c r="I124" s="93">
        <f>SUM(I2:I122)</f>
        <v>688.32000000000085</v>
      </c>
      <c r="J124" s="93"/>
      <c r="K124" s="93">
        <f>SUM(K2:K122)</f>
        <v>1188.1550000000009</v>
      </c>
      <c r="L124" s="93">
        <f>SUM(L2:L122)</f>
        <v>499.83499999999975</v>
      </c>
      <c r="M124" s="5" t="str">
        <f>COUNT(M2:M122)&amp;" overridden"</f>
        <v>8 overridden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9F893-9519-A14A-AD09-8E6A8F8DEC8D}">
  <dimension ref="A1:D18"/>
  <sheetViews>
    <sheetView workbookViewId="0"/>
  </sheetViews>
  <sheetFormatPr baseColWidth="10" defaultRowHeight="15" x14ac:dyDescent="0.2"/>
  <cols>
    <col min="1" max="1" width="33.33203125" customWidth="1"/>
    <col min="2" max="4" width="22.5" customWidth="1"/>
  </cols>
  <sheetData>
    <row r="1" spans="1:4" ht="19" x14ac:dyDescent="0.25">
      <c r="A1" s="3" t="s">
        <v>421</v>
      </c>
    </row>
    <row r="2" spans="1:4" x14ac:dyDescent="0.2">
      <c r="A2" s="4" t="s">
        <v>422</v>
      </c>
    </row>
    <row r="4" spans="1:4" x14ac:dyDescent="0.2">
      <c r="A4" s="86" t="s">
        <v>423</v>
      </c>
      <c r="B4" s="85" t="s">
        <v>424</v>
      </c>
      <c r="C4" s="85" t="s">
        <v>425</v>
      </c>
      <c r="D4" s="85" t="s">
        <v>426</v>
      </c>
    </row>
    <row r="5" spans="1:4" x14ac:dyDescent="0.2">
      <c r="A5" s="87" t="s">
        <v>427</v>
      </c>
      <c r="B5" s="84">
        <v>4.99</v>
      </c>
      <c r="C5" s="84">
        <v>5.99</v>
      </c>
      <c r="D5" s="88">
        <v>1.4</v>
      </c>
    </row>
    <row r="6" spans="1:4" x14ac:dyDescent="0.2">
      <c r="A6" s="87" t="s">
        <v>7</v>
      </c>
      <c r="B6" s="84">
        <v>4.99</v>
      </c>
      <c r="C6" s="84">
        <v>5.99</v>
      </c>
      <c r="D6" s="88">
        <v>1.8</v>
      </c>
    </row>
    <row r="7" spans="1:4" x14ac:dyDescent="0.2">
      <c r="A7" s="87" t="s">
        <v>428</v>
      </c>
      <c r="B7" s="84">
        <v>6.99</v>
      </c>
      <c r="C7" s="84">
        <v>7.99</v>
      </c>
      <c r="D7" s="88">
        <v>2.5</v>
      </c>
    </row>
    <row r="8" spans="1:4" x14ac:dyDescent="0.2">
      <c r="A8" s="87" t="s">
        <v>429</v>
      </c>
      <c r="B8" s="84">
        <v>4.99</v>
      </c>
      <c r="C8" s="84">
        <v>5.99</v>
      </c>
      <c r="D8" s="88">
        <v>8</v>
      </c>
    </row>
    <row r="9" spans="1:4" x14ac:dyDescent="0.2">
      <c r="A9" s="87" t="s">
        <v>430</v>
      </c>
      <c r="B9" s="84">
        <v>4.99</v>
      </c>
      <c r="C9" s="84">
        <v>5.99</v>
      </c>
      <c r="D9" s="88">
        <v>1.2</v>
      </c>
    </row>
    <row r="10" spans="1:4" x14ac:dyDescent="0.2">
      <c r="A10" s="87" t="s">
        <v>431</v>
      </c>
      <c r="B10" s="84">
        <v>5.99</v>
      </c>
      <c r="C10" s="84">
        <v>6.99</v>
      </c>
      <c r="D10" s="88">
        <v>1.5</v>
      </c>
    </row>
    <row r="12" spans="1:4" x14ac:dyDescent="0.2">
      <c r="A12" s="5" t="s">
        <v>432</v>
      </c>
      <c r="B12" s="81">
        <v>2</v>
      </c>
    </row>
    <row r="13" spans="1:4" x14ac:dyDescent="0.2">
      <c r="A13" s="5" t="s">
        <v>433</v>
      </c>
      <c r="B13" s="82">
        <v>2026</v>
      </c>
    </row>
    <row r="15" spans="1:4" x14ac:dyDescent="0.2">
      <c r="A15" s="5" t="s">
        <v>434</v>
      </c>
    </row>
    <row r="16" spans="1:4" x14ac:dyDescent="0.2">
      <c r="A16" s="5" t="s">
        <v>435</v>
      </c>
    </row>
    <row r="17" spans="1:1" x14ac:dyDescent="0.2">
      <c r="A17" s="5" t="s">
        <v>436</v>
      </c>
    </row>
    <row r="18" spans="1:1" x14ac:dyDescent="0.2">
      <c r="A18" s="5" t="s">
        <v>437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8A032-57B8-3F44-A0EE-37996A9F5B3E}">
  <sheetPr>
    <tabColor rgb="FF1F3864"/>
  </sheetPr>
  <dimension ref="A1:K44"/>
  <sheetViews>
    <sheetView workbookViewId="0">
      <pane ySplit="9" topLeftCell="A10" activePane="bottomLeft" state="frozen"/>
      <selection pane="bottomLeft" activeCell="A3" sqref="A3:K3"/>
    </sheetView>
  </sheetViews>
  <sheetFormatPr baseColWidth="10" defaultRowHeight="15" x14ac:dyDescent="0.2"/>
  <cols>
    <col min="1" max="1" width="6.6640625" customWidth="1"/>
    <col min="2" max="2" width="41.6640625" customWidth="1"/>
    <col min="3" max="3" width="18.33203125" customWidth="1"/>
    <col min="4" max="6" width="15" customWidth="1"/>
    <col min="7" max="7" width="56.6640625" customWidth="1"/>
    <col min="8" max="8" width="35" customWidth="1"/>
    <col min="9" max="9" width="20" customWidth="1"/>
    <col min="10" max="10" width="18.33203125" customWidth="1"/>
    <col min="11" max="11" width="33.33203125" customWidth="1"/>
  </cols>
  <sheetData>
    <row r="1" spans="1:11" ht="27" x14ac:dyDescent="0.2">
      <c r="A1" s="119" t="s">
        <v>496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32" customHeight="1" x14ac:dyDescent="0.2">
      <c r="A2" s="186" t="s">
        <v>497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</row>
    <row r="3" spans="1:11" ht="16" x14ac:dyDescent="0.2">
      <c r="A3" s="179" t="s">
        <v>549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</row>
    <row r="4" spans="1:11" ht="32" x14ac:dyDescent="0.2">
      <c r="A4" s="182" t="s">
        <v>550</v>
      </c>
      <c r="B4" s="182" t="s">
        <v>551</v>
      </c>
      <c r="C4" s="182" t="s">
        <v>552</v>
      </c>
      <c r="D4" s="182" t="s">
        <v>547</v>
      </c>
      <c r="E4" s="182" t="s">
        <v>553</v>
      </c>
      <c r="F4" s="180"/>
      <c r="G4" s="182" t="s">
        <v>554</v>
      </c>
      <c r="H4" s="182" t="s">
        <v>555</v>
      </c>
    </row>
    <row r="5" spans="1:11" ht="22" x14ac:dyDescent="0.3">
      <c r="A5" s="183">
        <f>COUNTIF($I$9:$I$32,"Finished")</f>
        <v>0</v>
      </c>
      <c r="B5" s="183">
        <f>COUNTIF($I$9:$I$32,"Caught Up")</f>
        <v>0</v>
      </c>
      <c r="C5" s="183">
        <f>COUNTIF($I$9:$I$32,"Reading Now")</f>
        <v>0</v>
      </c>
      <c r="D5" s="183">
        <f>COUNTIF($I$9:$I$32,"Not Started")</f>
        <v>14</v>
      </c>
      <c r="E5" s="183">
        <f>COUNTIF($I$9:$I$32,"Skipping")</f>
        <v>0</v>
      </c>
      <c r="F5" s="181"/>
      <c r="G5" s="183">
        <f>SUM($E$9:$E$32)</f>
        <v>81</v>
      </c>
      <c r="H5" s="103">
        <f>IFERROR(SUM($E$9:$E$32)/SUM($D$9:$D$32),"")</f>
        <v>0.62790697674418605</v>
      </c>
    </row>
    <row r="7" spans="1:11" x14ac:dyDescent="0.2">
      <c r="A7" s="5" t="s">
        <v>556</v>
      </c>
      <c r="B7" s="184" t="s">
        <v>557</v>
      </c>
      <c r="C7" s="184" t="s">
        <v>558</v>
      </c>
      <c r="D7" s="184" t="s">
        <v>559</v>
      </c>
      <c r="E7" s="184" t="s">
        <v>560</v>
      </c>
      <c r="F7" s="185"/>
      <c r="G7" s="184" t="s">
        <v>561</v>
      </c>
    </row>
    <row r="9" spans="1:11" ht="16" x14ac:dyDescent="0.2">
      <c r="A9" s="121" t="s">
        <v>498</v>
      </c>
      <c r="B9" s="122" t="s">
        <v>12</v>
      </c>
      <c r="C9" s="122" t="s">
        <v>524</v>
      </c>
      <c r="D9" s="122" t="s">
        <v>499</v>
      </c>
      <c r="E9" s="122" t="s">
        <v>500</v>
      </c>
      <c r="F9" s="122" t="s">
        <v>501</v>
      </c>
      <c r="G9" s="122" t="s">
        <v>502</v>
      </c>
      <c r="H9" s="122" t="s">
        <v>525</v>
      </c>
      <c r="I9" s="122" t="s">
        <v>545</v>
      </c>
      <c r="J9" s="122" t="s">
        <v>546</v>
      </c>
      <c r="K9" s="123" t="s">
        <v>548</v>
      </c>
    </row>
    <row r="10" spans="1:11" ht="16" x14ac:dyDescent="0.2">
      <c r="A10" s="124" t="s">
        <v>503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6"/>
    </row>
    <row r="11" spans="1:11" ht="48" x14ac:dyDescent="0.2">
      <c r="A11" s="127">
        <v>0</v>
      </c>
      <c r="B11" s="128" t="s">
        <v>504</v>
      </c>
      <c r="C11" s="129" t="s">
        <v>542</v>
      </c>
      <c r="D11" s="130">
        <v>1</v>
      </c>
      <c r="E11" s="130" t="s">
        <v>505</v>
      </c>
      <c r="F11" s="131" t="s">
        <v>283</v>
      </c>
      <c r="G11" s="132" t="s">
        <v>506</v>
      </c>
      <c r="H11" s="133"/>
      <c r="I11" s="134" t="s">
        <v>547</v>
      </c>
      <c r="J11" s="135" t="str">
        <f>IFERROR(IF(N(E11)=0,"",MIN(1,N(E11)/N(D11))),"")</f>
        <v/>
      </c>
      <c r="K11" s="136" t="s">
        <v>283</v>
      </c>
    </row>
    <row r="12" spans="1:11" x14ac:dyDescent="0.2">
      <c r="A12" s="137"/>
      <c r="B12" s="138"/>
      <c r="C12" s="139"/>
      <c r="D12" s="140"/>
      <c r="E12" s="140"/>
      <c r="F12" s="141"/>
      <c r="G12" s="142"/>
      <c r="H12" s="143"/>
      <c r="I12" s="141"/>
      <c r="J12" s="144"/>
      <c r="K12" s="145"/>
    </row>
    <row r="13" spans="1:11" ht="16" x14ac:dyDescent="0.2">
      <c r="A13" s="146" t="s">
        <v>507</v>
      </c>
      <c r="B13" s="147"/>
      <c r="C13" s="148"/>
      <c r="D13" s="148"/>
      <c r="E13" s="148"/>
      <c r="F13" s="148"/>
      <c r="G13" s="148"/>
      <c r="H13" s="148"/>
      <c r="I13" s="148"/>
      <c r="J13" s="148"/>
      <c r="K13" s="149"/>
    </row>
    <row r="14" spans="1:11" ht="32" x14ac:dyDescent="0.2">
      <c r="A14" s="127">
        <v>1</v>
      </c>
      <c r="B14" s="150" t="s">
        <v>20</v>
      </c>
      <c r="C14" s="151">
        <f>IFERROR(IF(_xlfn.MINIFS('export_comics (2)'!$E:$E,'export_comics (2)'!$A:$A,$B14)=0,"—",_xlfn.MINIFS('export_comics (2)'!$E:$E,'export_comics (2)'!$A:$A,$B14)),"—")</f>
        <v>45574</v>
      </c>
      <c r="D14" s="152">
        <f>'Missing Issues'!F4</f>
        <v>23</v>
      </c>
      <c r="E14" s="152">
        <f>'Missing Issues'!D4</f>
        <v>23</v>
      </c>
      <c r="F14" s="153" t="str">
        <f>'Missing Issues'!B4</f>
        <v>None</v>
      </c>
      <c r="G14" s="154" t="s">
        <v>508</v>
      </c>
      <c r="H14" s="155" t="s">
        <v>526</v>
      </c>
      <c r="I14" s="134" t="s">
        <v>547</v>
      </c>
      <c r="J14" s="135">
        <f>IFERROR(IF(N(E14)=0,"",MIN(1,N(E14)/N(D14))),"")</f>
        <v>1</v>
      </c>
      <c r="K14" s="136" t="str">
        <f>IF(N(D14)=0,"—",IF(N(E14)&gt;=N(D14),"COMPLETE RUN","GAPS: "&amp;F14))</f>
        <v>COMPLETE RUN</v>
      </c>
    </row>
    <row r="15" spans="1:11" ht="32" x14ac:dyDescent="0.2">
      <c r="A15" s="127">
        <v>2</v>
      </c>
      <c r="B15" s="128" t="s">
        <v>242</v>
      </c>
      <c r="C15" s="156">
        <f>IFERROR(IF(_xlfn.MINIFS('export_comics (2)'!$E:$E,'export_comics (2)'!$A:$A,$B15)=0,"—",_xlfn.MINIFS('export_comics (2)'!$E:$E,'export_comics (2)'!$A:$A,$B15)),"—")</f>
        <v>45623</v>
      </c>
      <c r="D15" s="130">
        <f>'Missing Issues'!F6</f>
        <v>23</v>
      </c>
      <c r="E15" s="130">
        <f>'Missing Issues'!D6</f>
        <v>10</v>
      </c>
      <c r="F15" s="131" t="str">
        <f>'Missing Issues'!B6</f>
        <v>11, 14, 21</v>
      </c>
      <c r="G15" s="132" t="s">
        <v>509</v>
      </c>
      <c r="H15" s="133" t="s">
        <v>527</v>
      </c>
      <c r="I15" s="134" t="s">
        <v>547</v>
      </c>
      <c r="J15" s="135">
        <f>IFERROR(IF(N(E15)=0,"",MIN(1,N(E15)/N(D15))),"")</f>
        <v>0.43478260869565216</v>
      </c>
      <c r="K15" s="136" t="str">
        <f>IF(N(D15)=0,"—",IF(N(E15)&gt;=N(D15),"COMPLETE RUN","GAPS: "&amp;F15))</f>
        <v>GAPS: 11, 14, 21</v>
      </c>
    </row>
    <row r="16" spans="1:11" ht="32" x14ac:dyDescent="0.2">
      <c r="A16" s="127">
        <v>3</v>
      </c>
      <c r="B16" s="150" t="s">
        <v>173</v>
      </c>
      <c r="C16" s="151">
        <f>IFERROR(IF(_xlfn.MINIFS('export_comics (2)'!$E:$E,'export_comics (2)'!$A:$A,$B16)=0,"—",_xlfn.MINIFS('export_comics (2)'!$E:$E,'export_comics (2)'!$A:$A,$B16)),"—")</f>
        <v>45602</v>
      </c>
      <c r="D16" s="152">
        <f>'Missing Issues'!F5</f>
        <v>23</v>
      </c>
      <c r="E16" s="152">
        <f>'Missing Issues'!D5</f>
        <v>14</v>
      </c>
      <c r="F16" s="153">
        <f>'Missing Issues'!B5</f>
        <v>15</v>
      </c>
      <c r="G16" s="154" t="s">
        <v>510</v>
      </c>
      <c r="H16" s="155" t="s">
        <v>526</v>
      </c>
      <c r="I16" s="134" t="s">
        <v>547</v>
      </c>
      <c r="J16" s="135">
        <f>IFERROR(IF(N(E16)=0,"",MIN(1,N(E16)/N(D16))),"")</f>
        <v>0.60869565217391308</v>
      </c>
      <c r="K16" s="136" t="str">
        <f>IF(N(D16)=0,"—",IF(N(E16)&gt;=N(D16),"COMPLETE RUN","GAPS: "&amp;F16))</f>
        <v>GAPS: 15</v>
      </c>
    </row>
    <row r="17" spans="1:11" x14ac:dyDescent="0.2">
      <c r="A17" s="137"/>
      <c r="B17" s="138"/>
      <c r="C17" s="139"/>
      <c r="D17" s="140"/>
      <c r="E17" s="140"/>
      <c r="F17" s="141"/>
      <c r="G17" s="142"/>
      <c r="H17" s="143"/>
      <c r="I17" s="141"/>
      <c r="J17" s="144"/>
      <c r="K17" s="145"/>
    </row>
    <row r="18" spans="1:11" ht="16" x14ac:dyDescent="0.2">
      <c r="A18" s="157" t="s">
        <v>511</v>
      </c>
      <c r="B18" s="158"/>
      <c r="C18" s="159"/>
      <c r="D18" s="159"/>
      <c r="E18" s="159"/>
      <c r="F18" s="159"/>
      <c r="G18" s="159"/>
      <c r="H18" s="159"/>
      <c r="I18" s="159"/>
      <c r="J18" s="159"/>
      <c r="K18" s="160"/>
    </row>
    <row r="19" spans="1:11" ht="16" x14ac:dyDescent="0.2">
      <c r="A19" s="127">
        <v>4</v>
      </c>
      <c r="B19" s="128" t="s">
        <v>94</v>
      </c>
      <c r="C19" s="156">
        <f>IFERROR(IF(_xlfn.MINIFS('export_comics (2)'!$E:$E,'export_comics (2)'!$A:$A,$B19)=0,"—",_xlfn.MINIFS('export_comics (2)'!$E:$E,'export_comics (2)'!$A:$A,$B19)),"—")</f>
        <v>45735</v>
      </c>
      <c r="D19" s="130">
        <f>'Missing Issues'!F7</f>
        <v>18</v>
      </c>
      <c r="E19" s="130">
        <f>'Missing Issues'!D7</f>
        <v>7</v>
      </c>
      <c r="F19" s="131" t="str">
        <f>'Missing Issues'!B7</f>
        <v>8, 9</v>
      </c>
      <c r="G19" s="132" t="s">
        <v>522</v>
      </c>
      <c r="H19" s="133" t="s">
        <v>528</v>
      </c>
      <c r="I19" s="134" t="s">
        <v>547</v>
      </c>
      <c r="J19" s="135">
        <f>IFERROR(IF(N(E19)=0,"",MIN(1,N(E19)/N(D19))),"")</f>
        <v>0.3888888888888889</v>
      </c>
      <c r="K19" s="136" t="str">
        <f>IF(N(D19)=0,"—",IF(N(E19)&gt;=N(D19),"COMPLETE RUN","GAPS: "&amp;F19))</f>
        <v>GAPS: 8, 9</v>
      </c>
    </row>
    <row r="20" spans="1:11" ht="32" x14ac:dyDescent="0.2">
      <c r="A20" s="127">
        <v>5</v>
      </c>
      <c r="B20" s="150" t="s">
        <v>162</v>
      </c>
      <c r="C20" s="151">
        <f>IFERROR(IF(_xlfn.MINIFS('export_comics (2)'!$E:$E,'export_comics (2)'!$A:$A,$B20)=0,"—",_xlfn.MINIFS('export_comics (2)'!$E:$E,'export_comics (2)'!$A:$A,$B20)),"—")</f>
        <v>45742</v>
      </c>
      <c r="D20" s="152">
        <f>'Missing Issues'!F9</f>
        <v>12</v>
      </c>
      <c r="E20" s="152">
        <f>'Missing Issues'!D9</f>
        <v>6</v>
      </c>
      <c r="F20" s="153">
        <f>'Missing Issues'!B9</f>
        <v>7</v>
      </c>
      <c r="G20" s="154" t="s">
        <v>523</v>
      </c>
      <c r="H20" s="155" t="s">
        <v>528</v>
      </c>
      <c r="I20" s="134" t="s">
        <v>547</v>
      </c>
      <c r="J20" s="135">
        <f>IFERROR(IF(N(E20)=0,"",MIN(1,N(E20)/N(D20))),"")</f>
        <v>0.5</v>
      </c>
      <c r="K20" s="136" t="str">
        <f>IF(N(D20)=0,"—",IF(N(E20)&gt;=N(D20),"COMPLETE RUN","GAPS: "&amp;F20))</f>
        <v>GAPS: 7</v>
      </c>
    </row>
    <row r="21" spans="1:11" ht="16" x14ac:dyDescent="0.2">
      <c r="A21" s="127">
        <v>6</v>
      </c>
      <c r="B21" s="128" t="s">
        <v>126</v>
      </c>
      <c r="C21" s="156">
        <f>IFERROR(IF(_xlfn.MINIFS('export_comics (2)'!$E:$E,'export_comics (2)'!$A:$A,$B21)=0,"—",_xlfn.MINIFS('export_comics (2)'!$E:$E,'export_comics (2)'!$A:$A,$B21)),"—")</f>
        <v>45749</v>
      </c>
      <c r="D21" s="130">
        <f>'Missing Issues'!F8</f>
        <v>18</v>
      </c>
      <c r="E21" s="130">
        <f>'Missing Issues'!D8</f>
        <v>12</v>
      </c>
      <c r="F21" s="131">
        <f>'Missing Issues'!B8</f>
        <v>13</v>
      </c>
      <c r="G21" s="132" t="s">
        <v>512</v>
      </c>
      <c r="H21" s="133" t="s">
        <v>528</v>
      </c>
      <c r="I21" s="134" t="s">
        <v>547</v>
      </c>
      <c r="J21" s="135">
        <f>IFERROR(IF(N(E21)=0,"",MIN(1,N(E21)/N(D21))),"")</f>
        <v>0.66666666666666663</v>
      </c>
      <c r="K21" s="136" t="str">
        <f>IF(N(D21)=0,"—",IF(N(E21)&gt;=N(D21),"COMPLETE RUN","GAPS: "&amp;F21))</f>
        <v>GAPS: 13</v>
      </c>
    </row>
    <row r="22" spans="1:11" x14ac:dyDescent="0.2">
      <c r="A22" s="137"/>
      <c r="B22" s="138"/>
      <c r="C22" s="139"/>
      <c r="D22" s="140"/>
      <c r="E22" s="140"/>
      <c r="F22" s="141"/>
      <c r="G22" s="142"/>
      <c r="H22" s="143"/>
      <c r="I22" s="141"/>
      <c r="J22" s="144"/>
      <c r="K22" s="145"/>
    </row>
    <row r="23" spans="1:11" ht="16" x14ac:dyDescent="0.2">
      <c r="A23" s="161" t="s">
        <v>513</v>
      </c>
      <c r="B23" s="162"/>
      <c r="C23" s="163"/>
      <c r="D23" s="163"/>
      <c r="E23" s="163"/>
      <c r="F23" s="163"/>
      <c r="G23" s="163"/>
      <c r="H23" s="163"/>
      <c r="I23" s="163"/>
      <c r="J23" s="163"/>
      <c r="K23" s="164"/>
    </row>
    <row r="24" spans="1:11" ht="32" x14ac:dyDescent="0.2">
      <c r="A24" s="127">
        <v>7</v>
      </c>
      <c r="B24" s="150" t="s">
        <v>91</v>
      </c>
      <c r="C24" s="151">
        <f>IFERROR(IF(_xlfn.MINIFS('export_comics (2)'!$E:$E,'export_comics (2)'!$A:$A,$B24)=0,"—",_xlfn.MINIFS('export_comics (2)'!$E:$E,'export_comics (2)'!$A:$A,$B24)),"—")</f>
        <v>45931</v>
      </c>
      <c r="D24" s="152">
        <f>'Missing Issues'!F18</f>
        <v>1</v>
      </c>
      <c r="E24" s="152">
        <f>'Missing Issues'!D18</f>
        <v>1</v>
      </c>
      <c r="F24" s="153" t="str">
        <f>'Missing Issues'!B18</f>
        <v>—</v>
      </c>
      <c r="G24" s="154" t="s">
        <v>515</v>
      </c>
      <c r="H24" s="155" t="s">
        <v>526</v>
      </c>
      <c r="I24" s="134" t="s">
        <v>547</v>
      </c>
      <c r="J24" s="135">
        <f>IFERROR(IF(N(E24)=0,"",MIN(1,N(E24)/N(D24))),"")</f>
        <v>1</v>
      </c>
      <c r="K24" s="136" t="str">
        <f>IF(N(D24)=0,"—",IF(N(E24)&gt;=N(D24),"COMPLETE RUN","GAPS: "&amp;F24))</f>
        <v>COMPLETE RUN</v>
      </c>
    </row>
    <row r="25" spans="1:11" ht="16" x14ac:dyDescent="0.2">
      <c r="A25" s="127">
        <v>8</v>
      </c>
      <c r="B25" s="128" t="s">
        <v>68</v>
      </c>
      <c r="C25" s="156">
        <f>IFERROR(IF(_xlfn.MINIFS('export_comics (2)'!$E:$E,'export_comics (2)'!$A:$A,$B25)=0,"—",_xlfn.MINIFS('export_comics (2)'!$E:$E,'export_comics (2)'!$A:$A,$B25)),"—")</f>
        <v>46127</v>
      </c>
      <c r="D25" s="130">
        <f>'Missing Issues'!F16</f>
        <v>1</v>
      </c>
      <c r="E25" s="130">
        <f>'Missing Issues'!D16</f>
        <v>1</v>
      </c>
      <c r="F25" s="131" t="str">
        <f>'Missing Issues'!B16</f>
        <v>—</v>
      </c>
      <c r="G25" s="132" t="s">
        <v>516</v>
      </c>
      <c r="H25" s="133" t="s">
        <v>529</v>
      </c>
      <c r="I25" s="134" t="s">
        <v>547</v>
      </c>
      <c r="J25" s="135">
        <f>IFERROR(IF(N(E25)=0,"",MIN(1,N(E25)/N(D25))),"")</f>
        <v>1</v>
      </c>
      <c r="K25" s="136" t="str">
        <f>IF(N(D25)=0,"—",IF(N(E25)&gt;=N(D25),"COMPLETE RUN","GAPS: "&amp;F25))</f>
        <v>COMPLETE RUN</v>
      </c>
    </row>
    <row r="26" spans="1:11" ht="16" x14ac:dyDescent="0.2">
      <c r="A26" s="127">
        <v>9</v>
      </c>
      <c r="B26" s="150" t="s">
        <v>72</v>
      </c>
      <c r="C26" s="151">
        <f>IFERROR(IF(_xlfn.MINIFS('export_comics (2)'!$E:$E,'export_comics (2)'!$A:$A,$B26)=0,"—",_xlfn.MINIFS('export_comics (2)'!$E:$E,'export_comics (2)'!$A:$A,$B26)),"—")</f>
        <v>46099</v>
      </c>
      <c r="D26" s="152">
        <f>'Missing Issues'!F17</f>
        <v>1</v>
      </c>
      <c r="E26" s="152">
        <f>'Missing Issues'!D17</f>
        <v>1</v>
      </c>
      <c r="F26" s="153" t="str">
        <f>'Missing Issues'!B17</f>
        <v>—</v>
      </c>
      <c r="G26" s="154" t="s">
        <v>517</v>
      </c>
      <c r="H26" s="155" t="s">
        <v>530</v>
      </c>
      <c r="I26" s="134" t="s">
        <v>547</v>
      </c>
      <c r="J26" s="135">
        <f>IFERROR(IF(N(E26)=0,"",MIN(1,N(E26)/N(D26))),"")</f>
        <v>1</v>
      </c>
      <c r="K26" s="136" t="str">
        <f>IF(N(D26)=0,"—",IF(N(E26)&gt;=N(D26),"COMPLETE RUN","GAPS: "&amp;F26))</f>
        <v>COMPLETE RUN</v>
      </c>
    </row>
    <row r="27" spans="1:11" ht="16" x14ac:dyDescent="0.2">
      <c r="A27" s="127">
        <v>10</v>
      </c>
      <c r="B27" s="128" t="s">
        <v>514</v>
      </c>
      <c r="C27" s="156" t="str">
        <f>IFERROR(IF(_xlfn.MINIFS('export_comics (2)'!$E:$E,'export_comics (2)'!$A:$A,$B27)=0,"—",_xlfn.MINIFS('export_comics (2)'!$E:$E,'export_comics (2)'!$A:$A,$B27)),"—")</f>
        <v>—</v>
      </c>
      <c r="D27" s="130">
        <f>'Missing Issues'!F14</f>
        <v>1</v>
      </c>
      <c r="E27" s="130">
        <f>'Missing Issues'!D14</f>
        <v>1</v>
      </c>
      <c r="F27" s="131" t="str">
        <f>'Missing Issues'!B14</f>
        <v>—</v>
      </c>
      <c r="G27" s="132" t="s">
        <v>518</v>
      </c>
      <c r="H27" s="133" t="s">
        <v>531</v>
      </c>
      <c r="I27" s="134" t="s">
        <v>547</v>
      </c>
      <c r="J27" s="135">
        <f>IFERROR(IF(N(E27)=0,"",MIN(1,N(E27)/N(D27))),"")</f>
        <v>1</v>
      </c>
      <c r="K27" s="136" t="str">
        <f>IF(N(D27)=0,"—",IF(N(E27)&gt;=N(D27),"COMPLETE RUN","GAPS: "&amp;F27))</f>
        <v>COMPLETE RUN</v>
      </c>
    </row>
    <row r="28" spans="1:11" x14ac:dyDescent="0.2">
      <c r="A28" s="137"/>
      <c r="B28" s="138"/>
      <c r="C28" s="139"/>
      <c r="D28" s="140"/>
      <c r="E28" s="140"/>
      <c r="F28" s="141"/>
      <c r="G28" s="142"/>
      <c r="H28" s="143"/>
      <c r="I28" s="141"/>
      <c r="J28" s="144"/>
      <c r="K28" s="145"/>
    </row>
    <row r="29" spans="1:11" ht="16" x14ac:dyDescent="0.2">
      <c r="A29" s="165" t="s">
        <v>519</v>
      </c>
      <c r="B29" s="166"/>
      <c r="C29" s="167"/>
      <c r="D29" s="167"/>
      <c r="E29" s="167"/>
      <c r="F29" s="167"/>
      <c r="G29" s="167"/>
      <c r="H29" s="167"/>
      <c r="I29" s="167"/>
      <c r="J29" s="167"/>
      <c r="K29" s="168"/>
    </row>
    <row r="30" spans="1:11" ht="16" x14ac:dyDescent="0.2">
      <c r="A30" s="127">
        <v>11</v>
      </c>
      <c r="B30" s="150" t="s">
        <v>121</v>
      </c>
      <c r="C30" s="151">
        <f>IFERROR(IF(_xlfn.MINIFS('export_comics (2)'!$E:$E,'export_comics (2)'!$A:$A,$B30)=0,"—",_xlfn.MINIFS('export_comics (2)'!$E:$E,'export_comics (2)'!$A:$A,$B30)),"—")</f>
        <v>46162</v>
      </c>
      <c r="D30" s="152">
        <f>'Missing Issues'!F11</f>
        <v>4</v>
      </c>
      <c r="E30" s="152">
        <f>'Missing Issues'!D11</f>
        <v>2</v>
      </c>
      <c r="F30" s="153">
        <f>'Missing Issues'!B11</f>
        <v>3</v>
      </c>
      <c r="G30" s="154" t="s">
        <v>520</v>
      </c>
      <c r="H30" s="155" t="s">
        <v>526</v>
      </c>
      <c r="I30" s="134" t="s">
        <v>547</v>
      </c>
      <c r="J30" s="135">
        <f>IFERROR(IF(N(E30)=0,"",MIN(1,N(E30)/N(D30))),"")</f>
        <v>0.5</v>
      </c>
      <c r="K30" s="136" t="str">
        <f>IF(N(D30)=0,"—",IF(N(E30)&gt;=N(D30),"COMPLETE RUN","GAPS: "&amp;F30))</f>
        <v>GAPS: 3</v>
      </c>
    </row>
    <row r="31" spans="1:11" ht="32" x14ac:dyDescent="0.2">
      <c r="A31" s="127">
        <v>12</v>
      </c>
      <c r="B31" s="128" t="s">
        <v>76</v>
      </c>
      <c r="C31" s="156">
        <f>IFERROR(IF(_xlfn.MINIFS('export_comics (2)'!$E:$E,'export_comics (2)'!$A:$A,$B31)=0,"—",_xlfn.MINIFS('export_comics (2)'!$E:$E,'export_comics (2)'!$A:$A,$B31)),"—")</f>
        <v>46183</v>
      </c>
      <c r="D31" s="130">
        <f>'Missing Issues'!F10</f>
        <v>3</v>
      </c>
      <c r="E31" s="130">
        <f>'Missing Issues'!D10</f>
        <v>3</v>
      </c>
      <c r="F31" s="131" t="str">
        <f>'Missing Issues'!B10</f>
        <v>None yet</v>
      </c>
      <c r="G31" s="132" t="s">
        <v>543</v>
      </c>
      <c r="H31" s="133" t="s">
        <v>526</v>
      </c>
      <c r="I31" s="134" t="s">
        <v>547</v>
      </c>
      <c r="J31" s="135">
        <f>IFERROR(IF(N(E31)=0,"",MIN(1,N(E31)/N(D31))),"")</f>
        <v>1</v>
      </c>
      <c r="K31" s="136" t="str">
        <f>IF(N(D31)=0,"—",IF(N(E31)&gt;=N(D31),"COMPLETE RUN","GAPS: "&amp;F31))</f>
        <v>COMPLETE RUN</v>
      </c>
    </row>
    <row r="32" spans="1:11" ht="32" x14ac:dyDescent="0.2">
      <c r="A32" s="169">
        <v>13</v>
      </c>
      <c r="B32" s="170" t="s">
        <v>381</v>
      </c>
      <c r="C32" s="171" t="str">
        <f>IFERROR(IF(_xlfn.MINIFS('export_comics (2)'!$E:$E,'export_comics (2)'!$A:$A,$B32)=0,"—",_xlfn.MINIFS('export_comics (2)'!$E:$E,'export_comics (2)'!$A:$A,$B32)),"—")</f>
        <v>—</v>
      </c>
      <c r="D32" s="172" t="str">
        <f>'Missing Issues'!F15</f>
        <v>Sep 16</v>
      </c>
      <c r="E32" s="172" t="str">
        <f>'Missing Issues'!D15</f>
        <v>—</v>
      </c>
      <c r="F32" s="173">
        <f>'Missing Issues'!B15</f>
        <v>1</v>
      </c>
      <c r="G32" s="174" t="s">
        <v>521</v>
      </c>
      <c r="H32" s="175" t="s">
        <v>532</v>
      </c>
      <c r="I32" s="176" t="s">
        <v>547</v>
      </c>
      <c r="J32" s="177" t="str">
        <f>IFERROR(IF(N(E32)=0,"",MIN(1,N(E32)/N(D32))),"")</f>
        <v/>
      </c>
      <c r="K32" s="178" t="str">
        <f>IF(N(D32)=0,"—",IF(N(E32)&gt;=N(D32),"COMPLETE RUN","GAPS: "&amp;F32))</f>
        <v>—</v>
      </c>
    </row>
    <row r="34" spans="1:1" ht="16" x14ac:dyDescent="0.2">
      <c r="A34" s="116" t="s">
        <v>533</v>
      </c>
    </row>
    <row r="35" spans="1:1" x14ac:dyDescent="0.2">
      <c r="A35" s="111" t="s">
        <v>534</v>
      </c>
    </row>
    <row r="36" spans="1:1" x14ac:dyDescent="0.2">
      <c r="A36" s="111" t="s">
        <v>535</v>
      </c>
    </row>
    <row r="37" spans="1:1" x14ac:dyDescent="0.2">
      <c r="A37" s="111" t="s">
        <v>536</v>
      </c>
    </row>
    <row r="38" spans="1:1" x14ac:dyDescent="0.2">
      <c r="A38" s="111" t="s">
        <v>537</v>
      </c>
    </row>
    <row r="39" spans="1:1" x14ac:dyDescent="0.2">
      <c r="A39" s="111"/>
    </row>
    <row r="40" spans="1:1" ht="16" x14ac:dyDescent="0.2">
      <c r="A40" s="116" t="s">
        <v>538</v>
      </c>
    </row>
    <row r="41" spans="1:1" x14ac:dyDescent="0.2">
      <c r="A41" s="117" t="s">
        <v>539</v>
      </c>
    </row>
    <row r="42" spans="1:1" x14ac:dyDescent="0.2">
      <c r="A42" s="113" t="s">
        <v>540</v>
      </c>
    </row>
    <row r="43" spans="1:1" x14ac:dyDescent="0.2">
      <c r="A43" s="113" t="s">
        <v>541</v>
      </c>
    </row>
    <row r="44" spans="1:1" x14ac:dyDescent="0.2">
      <c r="A44" s="113" t="s">
        <v>544</v>
      </c>
    </row>
  </sheetData>
  <mergeCells count="6">
    <mergeCell ref="A3:K3"/>
    <mergeCell ref="A10:K10"/>
    <mergeCell ref="A13:K13"/>
    <mergeCell ref="A18:K18"/>
    <mergeCell ref="A23:K23"/>
    <mergeCell ref="A29:K29"/>
  </mergeCells>
  <conditionalFormatting sqref="I11">
    <cfRule type="containsText" dxfId="95" priority="1" operator="containsText" text="Finished">
      <formula>NOT(ISERROR(SEARCH("Finished",I11)))</formula>
    </cfRule>
  </conditionalFormatting>
  <conditionalFormatting sqref="I11">
    <cfRule type="containsText" dxfId="94" priority="2" operator="containsText" text="Caught Up">
      <formula>NOT(ISERROR(SEARCH("Caught Up",I11)))</formula>
    </cfRule>
  </conditionalFormatting>
  <conditionalFormatting sqref="I11">
    <cfRule type="containsText" dxfId="93" priority="3" operator="containsText" text="Reading Now">
      <formula>NOT(ISERROR(SEARCH("Reading Now",I11)))</formula>
    </cfRule>
  </conditionalFormatting>
  <conditionalFormatting sqref="I11">
    <cfRule type="containsText" dxfId="92" priority="4" operator="containsText" text="Not Started">
      <formula>NOT(ISERROR(SEARCH("Not Started",I11)))</formula>
    </cfRule>
  </conditionalFormatting>
  <conditionalFormatting sqref="I11">
    <cfRule type="containsText" dxfId="91" priority="5" operator="containsText" text="Skipping">
      <formula>NOT(ISERROR(SEARCH("Skipping",I11)))</formula>
    </cfRule>
  </conditionalFormatting>
  <conditionalFormatting sqref="I14">
    <cfRule type="containsText" dxfId="90" priority="6" operator="containsText" text="Finished">
      <formula>NOT(ISERROR(SEARCH("Finished",I14)))</formula>
    </cfRule>
  </conditionalFormatting>
  <conditionalFormatting sqref="I14">
    <cfRule type="containsText" dxfId="89" priority="7" operator="containsText" text="Caught Up">
      <formula>NOT(ISERROR(SEARCH("Caught Up",I14)))</formula>
    </cfRule>
  </conditionalFormatting>
  <conditionalFormatting sqref="I14">
    <cfRule type="containsText" dxfId="88" priority="8" operator="containsText" text="Reading Now">
      <formula>NOT(ISERROR(SEARCH("Reading Now",I14)))</formula>
    </cfRule>
  </conditionalFormatting>
  <conditionalFormatting sqref="I14">
    <cfRule type="containsText" dxfId="87" priority="9" operator="containsText" text="Not Started">
      <formula>NOT(ISERROR(SEARCH("Not Started",I14)))</formula>
    </cfRule>
  </conditionalFormatting>
  <conditionalFormatting sqref="I14">
    <cfRule type="containsText" dxfId="86" priority="10" operator="containsText" text="Skipping">
      <formula>NOT(ISERROR(SEARCH("Skipping",I14)))</formula>
    </cfRule>
  </conditionalFormatting>
  <conditionalFormatting sqref="I15">
    <cfRule type="containsText" dxfId="85" priority="11" operator="containsText" text="Finished">
      <formula>NOT(ISERROR(SEARCH("Finished",I15)))</formula>
    </cfRule>
  </conditionalFormatting>
  <conditionalFormatting sqref="I15">
    <cfRule type="containsText" dxfId="84" priority="12" operator="containsText" text="Caught Up">
      <formula>NOT(ISERROR(SEARCH("Caught Up",I15)))</formula>
    </cfRule>
  </conditionalFormatting>
  <conditionalFormatting sqref="I15">
    <cfRule type="containsText" dxfId="83" priority="13" operator="containsText" text="Reading Now">
      <formula>NOT(ISERROR(SEARCH("Reading Now",I15)))</formula>
    </cfRule>
  </conditionalFormatting>
  <conditionalFormatting sqref="I15">
    <cfRule type="containsText" dxfId="82" priority="14" operator="containsText" text="Not Started">
      <formula>NOT(ISERROR(SEARCH("Not Started",I15)))</formula>
    </cfRule>
  </conditionalFormatting>
  <conditionalFormatting sqref="I15">
    <cfRule type="containsText" dxfId="81" priority="15" operator="containsText" text="Skipping">
      <formula>NOT(ISERROR(SEARCH("Skipping",I15)))</formula>
    </cfRule>
  </conditionalFormatting>
  <conditionalFormatting sqref="I16">
    <cfRule type="containsText" dxfId="80" priority="16" operator="containsText" text="Finished">
      <formula>NOT(ISERROR(SEARCH("Finished",I16)))</formula>
    </cfRule>
  </conditionalFormatting>
  <conditionalFormatting sqref="I16">
    <cfRule type="containsText" dxfId="79" priority="17" operator="containsText" text="Caught Up">
      <formula>NOT(ISERROR(SEARCH("Caught Up",I16)))</formula>
    </cfRule>
  </conditionalFormatting>
  <conditionalFormatting sqref="I16">
    <cfRule type="containsText" dxfId="78" priority="18" operator="containsText" text="Reading Now">
      <formula>NOT(ISERROR(SEARCH("Reading Now",I16)))</formula>
    </cfRule>
  </conditionalFormatting>
  <conditionalFormatting sqref="I16">
    <cfRule type="containsText" dxfId="77" priority="19" operator="containsText" text="Not Started">
      <formula>NOT(ISERROR(SEARCH("Not Started",I16)))</formula>
    </cfRule>
  </conditionalFormatting>
  <conditionalFormatting sqref="I16">
    <cfRule type="containsText" dxfId="76" priority="20" operator="containsText" text="Skipping">
      <formula>NOT(ISERROR(SEARCH("Skipping",I16)))</formula>
    </cfRule>
  </conditionalFormatting>
  <conditionalFormatting sqref="I19">
    <cfRule type="containsText" dxfId="75" priority="21" operator="containsText" text="Finished">
      <formula>NOT(ISERROR(SEARCH("Finished",I19)))</formula>
    </cfRule>
  </conditionalFormatting>
  <conditionalFormatting sqref="I19">
    <cfRule type="containsText" dxfId="74" priority="22" operator="containsText" text="Caught Up">
      <formula>NOT(ISERROR(SEARCH("Caught Up",I19)))</formula>
    </cfRule>
  </conditionalFormatting>
  <conditionalFormatting sqref="I19">
    <cfRule type="containsText" dxfId="73" priority="23" operator="containsText" text="Reading Now">
      <formula>NOT(ISERROR(SEARCH("Reading Now",I19)))</formula>
    </cfRule>
  </conditionalFormatting>
  <conditionalFormatting sqref="I19">
    <cfRule type="containsText" dxfId="72" priority="24" operator="containsText" text="Not Started">
      <formula>NOT(ISERROR(SEARCH("Not Started",I19)))</formula>
    </cfRule>
  </conditionalFormatting>
  <conditionalFormatting sqref="I19">
    <cfRule type="containsText" dxfId="71" priority="25" operator="containsText" text="Skipping">
      <formula>NOT(ISERROR(SEARCH("Skipping",I19)))</formula>
    </cfRule>
  </conditionalFormatting>
  <conditionalFormatting sqref="I20">
    <cfRule type="containsText" dxfId="70" priority="26" operator="containsText" text="Finished">
      <formula>NOT(ISERROR(SEARCH("Finished",I20)))</formula>
    </cfRule>
  </conditionalFormatting>
  <conditionalFormatting sqref="I20">
    <cfRule type="containsText" dxfId="69" priority="27" operator="containsText" text="Caught Up">
      <formula>NOT(ISERROR(SEARCH("Caught Up",I20)))</formula>
    </cfRule>
  </conditionalFormatting>
  <conditionalFormatting sqref="I20">
    <cfRule type="containsText" dxfId="68" priority="28" operator="containsText" text="Reading Now">
      <formula>NOT(ISERROR(SEARCH("Reading Now",I20)))</formula>
    </cfRule>
  </conditionalFormatting>
  <conditionalFormatting sqref="I20">
    <cfRule type="containsText" dxfId="67" priority="29" operator="containsText" text="Not Started">
      <formula>NOT(ISERROR(SEARCH("Not Started",I20)))</formula>
    </cfRule>
  </conditionalFormatting>
  <conditionalFormatting sqref="I20">
    <cfRule type="containsText" dxfId="66" priority="30" operator="containsText" text="Skipping">
      <formula>NOT(ISERROR(SEARCH("Skipping",I20)))</formula>
    </cfRule>
  </conditionalFormatting>
  <conditionalFormatting sqref="I21">
    <cfRule type="containsText" dxfId="65" priority="31" operator="containsText" text="Finished">
      <formula>NOT(ISERROR(SEARCH("Finished",I21)))</formula>
    </cfRule>
  </conditionalFormatting>
  <conditionalFormatting sqref="I21">
    <cfRule type="containsText" dxfId="64" priority="32" operator="containsText" text="Caught Up">
      <formula>NOT(ISERROR(SEARCH("Caught Up",I21)))</formula>
    </cfRule>
  </conditionalFormatting>
  <conditionalFormatting sqref="I21">
    <cfRule type="containsText" dxfId="63" priority="33" operator="containsText" text="Reading Now">
      <formula>NOT(ISERROR(SEARCH("Reading Now",I21)))</formula>
    </cfRule>
  </conditionalFormatting>
  <conditionalFormatting sqref="I21">
    <cfRule type="containsText" dxfId="62" priority="34" operator="containsText" text="Not Started">
      <formula>NOT(ISERROR(SEARCH("Not Started",I21)))</formula>
    </cfRule>
  </conditionalFormatting>
  <conditionalFormatting sqref="I21">
    <cfRule type="containsText" dxfId="61" priority="35" operator="containsText" text="Skipping">
      <formula>NOT(ISERROR(SEARCH("Skipping",I21)))</formula>
    </cfRule>
  </conditionalFormatting>
  <conditionalFormatting sqref="I24">
    <cfRule type="containsText" dxfId="60" priority="36" operator="containsText" text="Finished">
      <formula>NOT(ISERROR(SEARCH("Finished",I24)))</formula>
    </cfRule>
  </conditionalFormatting>
  <conditionalFormatting sqref="I24">
    <cfRule type="containsText" dxfId="59" priority="37" operator="containsText" text="Caught Up">
      <formula>NOT(ISERROR(SEARCH("Caught Up",I24)))</formula>
    </cfRule>
  </conditionalFormatting>
  <conditionalFormatting sqref="I24">
    <cfRule type="containsText" dxfId="58" priority="38" operator="containsText" text="Reading Now">
      <formula>NOT(ISERROR(SEARCH("Reading Now",I24)))</formula>
    </cfRule>
  </conditionalFormatting>
  <conditionalFormatting sqref="I24">
    <cfRule type="containsText" dxfId="57" priority="39" operator="containsText" text="Not Started">
      <formula>NOT(ISERROR(SEARCH("Not Started",I24)))</formula>
    </cfRule>
  </conditionalFormatting>
  <conditionalFormatting sqref="I24">
    <cfRule type="containsText" dxfId="56" priority="40" operator="containsText" text="Skipping">
      <formula>NOT(ISERROR(SEARCH("Skipping",I24)))</formula>
    </cfRule>
  </conditionalFormatting>
  <conditionalFormatting sqref="I25">
    <cfRule type="containsText" dxfId="55" priority="41" operator="containsText" text="Finished">
      <formula>NOT(ISERROR(SEARCH("Finished",I25)))</formula>
    </cfRule>
  </conditionalFormatting>
  <conditionalFormatting sqref="I25">
    <cfRule type="containsText" dxfId="54" priority="42" operator="containsText" text="Caught Up">
      <formula>NOT(ISERROR(SEARCH("Caught Up",I25)))</formula>
    </cfRule>
  </conditionalFormatting>
  <conditionalFormatting sqref="I25">
    <cfRule type="containsText" dxfId="53" priority="43" operator="containsText" text="Reading Now">
      <formula>NOT(ISERROR(SEARCH("Reading Now",I25)))</formula>
    </cfRule>
  </conditionalFormatting>
  <conditionalFormatting sqref="I25">
    <cfRule type="containsText" dxfId="52" priority="44" operator="containsText" text="Not Started">
      <formula>NOT(ISERROR(SEARCH("Not Started",I25)))</formula>
    </cfRule>
  </conditionalFormatting>
  <conditionalFormatting sqref="I25">
    <cfRule type="containsText" dxfId="51" priority="45" operator="containsText" text="Skipping">
      <formula>NOT(ISERROR(SEARCH("Skipping",I25)))</formula>
    </cfRule>
  </conditionalFormatting>
  <conditionalFormatting sqref="I26">
    <cfRule type="containsText" dxfId="50" priority="46" operator="containsText" text="Finished">
      <formula>NOT(ISERROR(SEARCH("Finished",I26)))</formula>
    </cfRule>
  </conditionalFormatting>
  <conditionalFormatting sqref="I26">
    <cfRule type="containsText" dxfId="49" priority="47" operator="containsText" text="Caught Up">
      <formula>NOT(ISERROR(SEARCH("Caught Up",I26)))</formula>
    </cfRule>
  </conditionalFormatting>
  <conditionalFormatting sqref="I26">
    <cfRule type="containsText" dxfId="48" priority="48" operator="containsText" text="Reading Now">
      <formula>NOT(ISERROR(SEARCH("Reading Now",I26)))</formula>
    </cfRule>
  </conditionalFormatting>
  <conditionalFormatting sqref="I26">
    <cfRule type="containsText" dxfId="47" priority="49" operator="containsText" text="Not Started">
      <formula>NOT(ISERROR(SEARCH("Not Started",I26)))</formula>
    </cfRule>
  </conditionalFormatting>
  <conditionalFormatting sqref="I26">
    <cfRule type="containsText" dxfId="46" priority="50" operator="containsText" text="Skipping">
      <formula>NOT(ISERROR(SEARCH("Skipping",I26)))</formula>
    </cfRule>
  </conditionalFormatting>
  <conditionalFormatting sqref="I27">
    <cfRule type="containsText" dxfId="45" priority="51" operator="containsText" text="Finished">
      <formula>NOT(ISERROR(SEARCH("Finished",I27)))</formula>
    </cfRule>
  </conditionalFormatting>
  <conditionalFormatting sqref="I27">
    <cfRule type="containsText" dxfId="44" priority="52" operator="containsText" text="Caught Up">
      <formula>NOT(ISERROR(SEARCH("Caught Up",I27)))</formula>
    </cfRule>
  </conditionalFormatting>
  <conditionalFormatting sqref="I27">
    <cfRule type="containsText" dxfId="43" priority="53" operator="containsText" text="Reading Now">
      <formula>NOT(ISERROR(SEARCH("Reading Now",I27)))</formula>
    </cfRule>
  </conditionalFormatting>
  <conditionalFormatting sqref="I27">
    <cfRule type="containsText" dxfId="42" priority="54" operator="containsText" text="Not Started">
      <formula>NOT(ISERROR(SEARCH("Not Started",I27)))</formula>
    </cfRule>
  </conditionalFormatting>
  <conditionalFormatting sqref="I27">
    <cfRule type="containsText" dxfId="41" priority="55" operator="containsText" text="Skipping">
      <formula>NOT(ISERROR(SEARCH("Skipping",I27)))</formula>
    </cfRule>
  </conditionalFormatting>
  <conditionalFormatting sqref="I30">
    <cfRule type="containsText" dxfId="40" priority="56" operator="containsText" text="Finished">
      <formula>NOT(ISERROR(SEARCH("Finished",I30)))</formula>
    </cfRule>
  </conditionalFormatting>
  <conditionalFormatting sqref="I30">
    <cfRule type="containsText" dxfId="39" priority="57" operator="containsText" text="Caught Up">
      <formula>NOT(ISERROR(SEARCH("Caught Up",I30)))</formula>
    </cfRule>
  </conditionalFormatting>
  <conditionalFormatting sqref="I30">
    <cfRule type="containsText" dxfId="38" priority="58" operator="containsText" text="Reading Now">
      <formula>NOT(ISERROR(SEARCH("Reading Now",I30)))</formula>
    </cfRule>
  </conditionalFormatting>
  <conditionalFormatting sqref="I30">
    <cfRule type="containsText" dxfId="37" priority="59" operator="containsText" text="Not Started">
      <formula>NOT(ISERROR(SEARCH("Not Started",I30)))</formula>
    </cfRule>
  </conditionalFormatting>
  <conditionalFormatting sqref="I30">
    <cfRule type="containsText" dxfId="36" priority="60" operator="containsText" text="Skipping">
      <formula>NOT(ISERROR(SEARCH("Skipping",I30)))</formula>
    </cfRule>
  </conditionalFormatting>
  <conditionalFormatting sqref="I31">
    <cfRule type="containsText" dxfId="35" priority="61" operator="containsText" text="Finished">
      <formula>NOT(ISERROR(SEARCH("Finished",I31)))</formula>
    </cfRule>
  </conditionalFormatting>
  <conditionalFormatting sqref="I31">
    <cfRule type="containsText" dxfId="34" priority="62" operator="containsText" text="Caught Up">
      <formula>NOT(ISERROR(SEARCH("Caught Up",I31)))</formula>
    </cfRule>
  </conditionalFormatting>
  <conditionalFormatting sqref="I31">
    <cfRule type="containsText" dxfId="33" priority="63" operator="containsText" text="Reading Now">
      <formula>NOT(ISERROR(SEARCH("Reading Now",I31)))</formula>
    </cfRule>
  </conditionalFormatting>
  <conditionalFormatting sqref="I31">
    <cfRule type="containsText" dxfId="32" priority="64" operator="containsText" text="Not Started">
      <formula>NOT(ISERROR(SEARCH("Not Started",I31)))</formula>
    </cfRule>
  </conditionalFormatting>
  <conditionalFormatting sqref="I31">
    <cfRule type="containsText" dxfId="31" priority="65" operator="containsText" text="Skipping">
      <formula>NOT(ISERROR(SEARCH("Skipping",I31)))</formula>
    </cfRule>
  </conditionalFormatting>
  <conditionalFormatting sqref="I32">
    <cfRule type="containsText" dxfId="30" priority="66" operator="containsText" text="Finished">
      <formula>NOT(ISERROR(SEARCH("Finished",I32)))</formula>
    </cfRule>
  </conditionalFormatting>
  <conditionalFormatting sqref="I32">
    <cfRule type="containsText" dxfId="29" priority="67" operator="containsText" text="Caught Up">
      <formula>NOT(ISERROR(SEARCH("Caught Up",I32)))</formula>
    </cfRule>
  </conditionalFormatting>
  <conditionalFormatting sqref="I32">
    <cfRule type="containsText" dxfId="28" priority="68" operator="containsText" text="Reading Now">
      <formula>NOT(ISERROR(SEARCH("Reading Now",I32)))</formula>
    </cfRule>
  </conditionalFormatting>
  <conditionalFormatting sqref="I32">
    <cfRule type="containsText" dxfId="27" priority="69" operator="containsText" text="Not Started">
      <formula>NOT(ISERROR(SEARCH("Not Started",I32)))</formula>
    </cfRule>
  </conditionalFormatting>
  <conditionalFormatting sqref="I32">
    <cfRule type="containsText" dxfId="26" priority="70" operator="containsText" text="Skipping">
      <formula>NOT(ISERROR(SEARCH("Skipping",I32)))</formula>
    </cfRule>
  </conditionalFormatting>
  <conditionalFormatting sqref="J11:J12 J14:J17 J19:J22 J24:J28 J30:J32">
    <cfRule type="dataBar" priority="71">
      <dataBar>
        <cfvo type="min"/>
        <cfvo type="max"/>
        <color rgb="FF2E75B6"/>
      </dataBar>
      <extLst>
        <ext xmlns:x14="http://schemas.microsoft.com/office/spreadsheetml/2009/9/main" uri="{B025F937-C7B1-47D3-B67F-A62EFF666E3E}">
          <x14:id>{EE417E74-5D14-0842-B3E2-BF70DC4EB6D5}</x14:id>
        </ext>
      </extLst>
    </cfRule>
  </conditionalFormatting>
  <conditionalFormatting sqref="K14">
    <cfRule type="containsText" dxfId="25" priority="72" operator="containsText" text="COMPLETE">
      <formula>NOT(ISERROR(SEARCH("COMPLETE",K14)))</formula>
    </cfRule>
  </conditionalFormatting>
  <conditionalFormatting sqref="K14">
    <cfRule type="containsText" dxfId="24" priority="73" operator="containsText" text="GAPS">
      <formula>NOT(ISERROR(SEARCH("GAPS",K14)))</formula>
    </cfRule>
  </conditionalFormatting>
  <conditionalFormatting sqref="K15">
    <cfRule type="containsText" dxfId="23" priority="74" operator="containsText" text="COMPLETE">
      <formula>NOT(ISERROR(SEARCH("COMPLETE",K15)))</formula>
    </cfRule>
  </conditionalFormatting>
  <conditionalFormatting sqref="K15">
    <cfRule type="containsText" dxfId="22" priority="75" operator="containsText" text="GAPS">
      <formula>NOT(ISERROR(SEARCH("GAPS",K15)))</formula>
    </cfRule>
  </conditionalFormatting>
  <conditionalFormatting sqref="K16">
    <cfRule type="containsText" dxfId="21" priority="76" operator="containsText" text="COMPLETE">
      <formula>NOT(ISERROR(SEARCH("COMPLETE",K16)))</formula>
    </cfRule>
  </conditionalFormatting>
  <conditionalFormatting sqref="K16">
    <cfRule type="containsText" dxfId="20" priority="77" operator="containsText" text="GAPS">
      <formula>NOT(ISERROR(SEARCH("GAPS",K16)))</formula>
    </cfRule>
  </conditionalFormatting>
  <conditionalFormatting sqref="K19">
    <cfRule type="containsText" dxfId="19" priority="78" operator="containsText" text="COMPLETE">
      <formula>NOT(ISERROR(SEARCH("COMPLETE",K19)))</formula>
    </cfRule>
  </conditionalFormatting>
  <conditionalFormatting sqref="K19">
    <cfRule type="containsText" dxfId="18" priority="79" operator="containsText" text="GAPS">
      <formula>NOT(ISERROR(SEARCH("GAPS",K19)))</formula>
    </cfRule>
  </conditionalFormatting>
  <conditionalFormatting sqref="K20">
    <cfRule type="containsText" dxfId="17" priority="80" operator="containsText" text="COMPLETE">
      <formula>NOT(ISERROR(SEARCH("COMPLETE",K20)))</formula>
    </cfRule>
  </conditionalFormatting>
  <conditionalFormatting sqref="K20">
    <cfRule type="containsText" dxfId="16" priority="81" operator="containsText" text="GAPS">
      <formula>NOT(ISERROR(SEARCH("GAPS",K20)))</formula>
    </cfRule>
  </conditionalFormatting>
  <conditionalFormatting sqref="K21">
    <cfRule type="containsText" dxfId="15" priority="82" operator="containsText" text="COMPLETE">
      <formula>NOT(ISERROR(SEARCH("COMPLETE",K21)))</formula>
    </cfRule>
  </conditionalFormatting>
  <conditionalFormatting sqref="K21">
    <cfRule type="containsText" dxfId="14" priority="83" operator="containsText" text="GAPS">
      <formula>NOT(ISERROR(SEARCH("GAPS",K21)))</formula>
    </cfRule>
  </conditionalFormatting>
  <conditionalFormatting sqref="K24">
    <cfRule type="containsText" dxfId="13" priority="84" operator="containsText" text="COMPLETE">
      <formula>NOT(ISERROR(SEARCH("COMPLETE",K24)))</formula>
    </cfRule>
  </conditionalFormatting>
  <conditionalFormatting sqref="K24">
    <cfRule type="containsText" dxfId="12" priority="85" operator="containsText" text="GAPS">
      <formula>NOT(ISERROR(SEARCH("GAPS",K24)))</formula>
    </cfRule>
  </conditionalFormatting>
  <conditionalFormatting sqref="K25">
    <cfRule type="containsText" dxfId="11" priority="86" operator="containsText" text="COMPLETE">
      <formula>NOT(ISERROR(SEARCH("COMPLETE",K25)))</formula>
    </cfRule>
  </conditionalFormatting>
  <conditionalFormatting sqref="K25">
    <cfRule type="containsText" dxfId="10" priority="87" operator="containsText" text="GAPS">
      <formula>NOT(ISERROR(SEARCH("GAPS",K25)))</formula>
    </cfRule>
  </conditionalFormatting>
  <conditionalFormatting sqref="K26">
    <cfRule type="containsText" dxfId="9" priority="88" operator="containsText" text="COMPLETE">
      <formula>NOT(ISERROR(SEARCH("COMPLETE",K26)))</formula>
    </cfRule>
  </conditionalFormatting>
  <conditionalFormatting sqref="K26">
    <cfRule type="containsText" dxfId="8" priority="89" operator="containsText" text="GAPS">
      <formula>NOT(ISERROR(SEARCH("GAPS",K26)))</formula>
    </cfRule>
  </conditionalFormatting>
  <conditionalFormatting sqref="K27">
    <cfRule type="containsText" dxfId="7" priority="90" operator="containsText" text="COMPLETE">
      <formula>NOT(ISERROR(SEARCH("COMPLETE",K27)))</formula>
    </cfRule>
  </conditionalFormatting>
  <conditionalFormatting sqref="K27">
    <cfRule type="containsText" dxfId="6" priority="91" operator="containsText" text="GAPS">
      <formula>NOT(ISERROR(SEARCH("GAPS",K27)))</formula>
    </cfRule>
  </conditionalFormatting>
  <conditionalFormatting sqref="K30">
    <cfRule type="containsText" dxfId="5" priority="92" operator="containsText" text="COMPLETE">
      <formula>NOT(ISERROR(SEARCH("COMPLETE",K30)))</formula>
    </cfRule>
  </conditionalFormatting>
  <conditionalFormatting sqref="K30">
    <cfRule type="containsText" dxfId="4" priority="93" operator="containsText" text="GAPS">
      <formula>NOT(ISERROR(SEARCH("GAPS",K30)))</formula>
    </cfRule>
  </conditionalFormatting>
  <conditionalFormatting sqref="K31">
    <cfRule type="containsText" dxfId="3" priority="94" operator="containsText" text="COMPLETE">
      <formula>NOT(ISERROR(SEARCH("COMPLETE",K31)))</formula>
    </cfRule>
  </conditionalFormatting>
  <conditionalFormatting sqref="K31">
    <cfRule type="containsText" dxfId="2" priority="95" operator="containsText" text="GAPS">
      <formula>NOT(ISERROR(SEARCH("GAPS",K31)))</formula>
    </cfRule>
  </conditionalFormatting>
  <conditionalFormatting sqref="K32">
    <cfRule type="containsText" dxfId="1" priority="96" operator="containsText" text="COMPLETE">
      <formula>NOT(ISERROR(SEARCH("COMPLETE",K32)))</formula>
    </cfRule>
  </conditionalFormatting>
  <conditionalFormatting sqref="K32">
    <cfRule type="containsText" dxfId="0" priority="97" operator="containsText" text="GAPS">
      <formula>NOT(ISERROR(SEARCH("GAPS",K32)))</formula>
    </cfRule>
  </conditionalFormatting>
  <dataValidations count="1">
    <dataValidation type="list" allowBlank="1" showInputMessage="1" showErrorMessage="1" promptTitle="Reading Status" prompt="Pick where you are with this run." sqref="I11 I30:I32 I24:I27 I19:I21 I14:I16" xr:uid="{A1AE1E59-D4F0-3648-A295-BD5AB1306C26}">
      <formula1>"Not Started,Reading Now,Caught Up,Finished,Skipping"</formula1>
    </dataValidation>
  </dataValidations>
  <hyperlinks>
    <hyperlink ref="B7" location="Dashboard!A1" tooltip="Go to Dashboard" display="▸ Dashboard" xr:uid="{D1106CC6-6100-764D-8C4A-D4C65BF279F6}"/>
    <hyperlink ref="C7" location="'Pricing Tracker'!A1" tooltip="Go to Pricing Tracker" display="▸ Pricing Tracker" xr:uid="{2F79BDB9-EF01-3343-8138-CB592EE2ED70}"/>
    <hyperlink ref="D7" location="'Missing Issues'!A1" tooltip="Go to Missing Issues" display="▸ Missing Issues" xr:uid="{24936972-E3ED-C846-A1AC-8BC86461DAE3}"/>
    <hyperlink ref="E7" location="'Shopping Plan'!A1" tooltip="Go to Shopping Plan" display="▸ Shopping Plan" xr:uid="{8D28CA3B-5991-B141-81BF-147AE6985F05}"/>
    <hyperlink ref="G7" location="Assumptions!A1" tooltip="Go to Assumptions" display="▸ Assumptions" xr:uid="{6964B607-F767-734B-843D-AEDA6E1B1DF0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E417E74-5D14-0842-B3E2-BF70DC4EB6D5}">
            <x14:dataBar minLength="0" maxLength="100" direction="leftToRight" negativeBarColorSameAsPositive="1" axisPosition="none">
              <x14:cfvo type="min"/>
              <x14:cfvo type="max"/>
            </x14:dataBar>
          </x14:cfRule>
          <xm:sqref>J11:J12 J14:J17 J19:J22 J24:J28 J30:J32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showGridLines="0"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50.5" customWidth="1"/>
    <col min="2" max="2" width="33.33203125" customWidth="1"/>
    <col min="3" max="3" width="9.5" customWidth="1"/>
    <col min="4" max="5" width="17.1640625" customWidth="1"/>
    <col min="6" max="6" width="13.33203125" customWidth="1"/>
    <col min="7" max="7" width="42" customWidth="1"/>
  </cols>
  <sheetData>
    <row r="1" spans="1:7" ht="19" x14ac:dyDescent="0.25">
      <c r="A1" s="3" t="s">
        <v>273</v>
      </c>
    </row>
    <row r="2" spans="1:7" x14ac:dyDescent="0.2">
      <c r="A2" s="4" t="s">
        <v>620</v>
      </c>
    </row>
    <row r="3" spans="1:7" x14ac:dyDescent="0.2">
      <c r="A3" s="8" t="s">
        <v>0</v>
      </c>
      <c r="B3" s="8" t="s">
        <v>274</v>
      </c>
      <c r="C3" s="8" t="s">
        <v>275</v>
      </c>
      <c r="D3" s="22" t="s">
        <v>276</v>
      </c>
      <c r="E3" s="22" t="s">
        <v>277</v>
      </c>
      <c r="F3" s="8" t="s">
        <v>278</v>
      </c>
      <c r="G3" s="8" t="s">
        <v>279</v>
      </c>
    </row>
    <row r="4" spans="1:7" ht="32" x14ac:dyDescent="0.2">
      <c r="A4" s="9" t="s">
        <v>20</v>
      </c>
      <c r="B4" s="9" t="s">
        <v>448</v>
      </c>
      <c r="C4" s="10">
        <v>0</v>
      </c>
      <c r="D4" s="10">
        <v>23</v>
      </c>
      <c r="E4" s="10">
        <v>23</v>
      </c>
      <c r="F4" s="10">
        <v>23</v>
      </c>
      <c r="G4" s="65" t="s">
        <v>449</v>
      </c>
    </row>
    <row r="5" spans="1:7" ht="32" x14ac:dyDescent="0.2">
      <c r="A5" s="9" t="s">
        <v>173</v>
      </c>
      <c r="B5" s="9">
        <v>15</v>
      </c>
      <c r="C5" s="10">
        <v>1</v>
      </c>
      <c r="D5" s="10">
        <v>14</v>
      </c>
      <c r="E5" s="10">
        <v>23</v>
      </c>
      <c r="F5" s="10">
        <v>23</v>
      </c>
      <c r="G5" s="65" t="s">
        <v>450</v>
      </c>
    </row>
    <row r="6" spans="1:7" ht="32" x14ac:dyDescent="0.2">
      <c r="A6" s="9" t="s">
        <v>242</v>
      </c>
      <c r="B6" s="9" t="s">
        <v>617</v>
      </c>
      <c r="C6" s="10">
        <v>3</v>
      </c>
      <c r="D6" s="10">
        <v>10</v>
      </c>
      <c r="E6" s="10">
        <v>23</v>
      </c>
      <c r="F6" s="10">
        <v>23</v>
      </c>
      <c r="G6" s="65" t="s">
        <v>618</v>
      </c>
    </row>
    <row r="7" spans="1:7" ht="16" x14ac:dyDescent="0.2">
      <c r="A7" s="9" t="s">
        <v>94</v>
      </c>
      <c r="B7" s="9" t="s">
        <v>451</v>
      </c>
      <c r="C7" s="10">
        <v>2</v>
      </c>
      <c r="D7" s="10">
        <v>7</v>
      </c>
      <c r="E7" s="10">
        <v>18</v>
      </c>
      <c r="F7" s="10">
        <v>18</v>
      </c>
      <c r="G7" s="65" t="s">
        <v>452</v>
      </c>
    </row>
    <row r="8" spans="1:7" ht="16" x14ac:dyDescent="0.2">
      <c r="A8" s="9" t="s">
        <v>126</v>
      </c>
      <c r="B8" s="9">
        <v>13</v>
      </c>
      <c r="C8" s="10">
        <v>1</v>
      </c>
      <c r="D8" s="10">
        <v>12</v>
      </c>
      <c r="E8" s="10">
        <v>18</v>
      </c>
      <c r="F8" s="10">
        <v>18</v>
      </c>
      <c r="G8" s="65" t="s">
        <v>453</v>
      </c>
    </row>
    <row r="9" spans="1:7" ht="32" x14ac:dyDescent="0.2">
      <c r="A9" s="16" t="s">
        <v>162</v>
      </c>
      <c r="B9" s="16">
        <v>7</v>
      </c>
      <c r="C9" s="17">
        <v>1</v>
      </c>
      <c r="D9" s="17">
        <v>6</v>
      </c>
      <c r="E9" s="17">
        <v>12</v>
      </c>
      <c r="F9" s="17">
        <v>12</v>
      </c>
      <c r="G9" s="66" t="s">
        <v>619</v>
      </c>
    </row>
    <row r="10" spans="1:7" ht="16" x14ac:dyDescent="0.2">
      <c r="A10" s="11" t="s">
        <v>76</v>
      </c>
      <c r="B10" s="11" t="s">
        <v>280</v>
      </c>
      <c r="C10" s="12">
        <f>0</f>
        <v>0</v>
      </c>
      <c r="D10" s="12">
        <v>3</v>
      </c>
      <c r="E10" s="12">
        <v>3</v>
      </c>
      <c r="F10" s="12">
        <v>3</v>
      </c>
      <c r="G10" s="67" t="s">
        <v>454</v>
      </c>
    </row>
    <row r="11" spans="1:7" ht="16" x14ac:dyDescent="0.2">
      <c r="A11" s="9" t="s">
        <v>121</v>
      </c>
      <c r="B11" s="9">
        <v>3</v>
      </c>
      <c r="C11" s="10">
        <v>1</v>
      </c>
      <c r="D11" s="10">
        <v>2</v>
      </c>
      <c r="E11" s="10">
        <v>4</v>
      </c>
      <c r="F11" s="10">
        <v>4</v>
      </c>
      <c r="G11" s="65" t="s">
        <v>455</v>
      </c>
    </row>
    <row r="12" spans="1:7" x14ac:dyDescent="0.2">
      <c r="A12" s="9"/>
      <c r="B12" s="9"/>
      <c r="C12" s="10"/>
      <c r="D12" s="10"/>
      <c r="E12" s="10"/>
      <c r="F12" s="10"/>
      <c r="G12" s="65"/>
    </row>
    <row r="13" spans="1:7" x14ac:dyDescent="0.2">
      <c r="A13" s="13" t="s">
        <v>281</v>
      </c>
      <c r="B13" s="13"/>
      <c r="C13" s="18"/>
      <c r="D13" s="18"/>
      <c r="E13" s="18"/>
      <c r="F13" s="18"/>
      <c r="G13" s="68"/>
    </row>
    <row r="14" spans="1:7" ht="16" x14ac:dyDescent="0.2">
      <c r="A14" s="9" t="s">
        <v>282</v>
      </c>
      <c r="B14" s="9" t="s">
        <v>283</v>
      </c>
      <c r="C14" s="10">
        <v>0</v>
      </c>
      <c r="D14" s="10">
        <v>1</v>
      </c>
      <c r="E14" s="10">
        <v>1</v>
      </c>
      <c r="F14" s="10">
        <v>1</v>
      </c>
      <c r="G14" s="69" t="s">
        <v>456</v>
      </c>
    </row>
    <row r="15" spans="1:7" ht="16" x14ac:dyDescent="0.2">
      <c r="A15" s="19" t="s">
        <v>284</v>
      </c>
      <c r="B15" s="19">
        <v>1</v>
      </c>
      <c r="C15" s="20">
        <f>1</f>
        <v>1</v>
      </c>
      <c r="D15" s="20" t="s">
        <v>283</v>
      </c>
      <c r="E15" s="21" t="s">
        <v>283</v>
      </c>
      <c r="F15" s="21" t="s">
        <v>285</v>
      </c>
      <c r="G15" s="70" t="s">
        <v>405</v>
      </c>
    </row>
    <row r="16" spans="1:7" x14ac:dyDescent="0.2">
      <c r="A16" s="11" t="s">
        <v>286</v>
      </c>
      <c r="B16" s="11" t="s">
        <v>283</v>
      </c>
      <c r="C16" s="12">
        <f>0</f>
        <v>0</v>
      </c>
      <c r="D16" s="12">
        <v>1</v>
      </c>
      <c r="E16" s="12">
        <v>1</v>
      </c>
      <c r="F16" s="12">
        <v>1</v>
      </c>
      <c r="G16" s="11" t="s">
        <v>287</v>
      </c>
    </row>
    <row r="17" spans="1:7" x14ac:dyDescent="0.2">
      <c r="A17" s="11" t="s">
        <v>288</v>
      </c>
      <c r="B17" s="11" t="s">
        <v>283</v>
      </c>
      <c r="C17" s="12">
        <f>0</f>
        <v>0</v>
      </c>
      <c r="D17" s="12">
        <v>1</v>
      </c>
      <c r="E17" s="12">
        <v>1</v>
      </c>
      <c r="F17" s="12">
        <v>1</v>
      </c>
      <c r="G17" s="11" t="s">
        <v>289</v>
      </c>
    </row>
    <row r="18" spans="1:7" x14ac:dyDescent="0.2">
      <c r="A18" s="11" t="s">
        <v>290</v>
      </c>
      <c r="B18" s="11" t="s">
        <v>283</v>
      </c>
      <c r="C18" s="12">
        <f>0</f>
        <v>0</v>
      </c>
      <c r="D18" s="12">
        <v>1</v>
      </c>
      <c r="E18" s="12">
        <v>1</v>
      </c>
      <c r="F18" s="12">
        <v>1</v>
      </c>
      <c r="G18" s="11" t="s">
        <v>291</v>
      </c>
    </row>
    <row r="19" spans="1:7" x14ac:dyDescent="0.2">
      <c r="A19" s="9"/>
      <c r="B19" s="9"/>
      <c r="C19" s="10"/>
      <c r="D19" s="10"/>
      <c r="E19" s="10"/>
      <c r="F19" s="10"/>
      <c r="G19" s="9"/>
    </row>
    <row r="20" spans="1:7" x14ac:dyDescent="0.2">
      <c r="A20" s="14" t="s">
        <v>457</v>
      </c>
      <c r="B20" s="14"/>
      <c r="C20" s="15">
        <f>SUM(C4:C11)+SUM(C14:C18)</f>
        <v>10</v>
      </c>
      <c r="D20" s="15"/>
      <c r="E20" s="15"/>
      <c r="F20" s="15"/>
      <c r="G20" s="14" t="s">
        <v>621</v>
      </c>
    </row>
    <row r="21" spans="1:7" x14ac:dyDescent="0.2">
      <c r="A21" s="97" t="s">
        <v>458</v>
      </c>
      <c r="C21">
        <f>COUNTIF('Pricing Tracker'!G2:G122,"In Transit")</f>
        <v>32</v>
      </c>
      <c r="G21" s="97" t="s">
        <v>459</v>
      </c>
    </row>
    <row r="22" spans="1:7" x14ac:dyDescent="0.2">
      <c r="A22" s="5" t="s">
        <v>292</v>
      </c>
    </row>
    <row r="23" spans="1:7" x14ac:dyDescent="0.2">
      <c r="A23" s="4" t="s">
        <v>460</v>
      </c>
    </row>
    <row r="24" spans="1:7" x14ac:dyDescent="0.2">
      <c r="A24" s="4" t="s">
        <v>293</v>
      </c>
    </row>
    <row r="25" spans="1:7" x14ac:dyDescent="0.2">
      <c r="A25" s="4" t="s">
        <v>294</v>
      </c>
    </row>
    <row r="26" spans="1:7" x14ac:dyDescent="0.2">
      <c r="A26" s="4" t="s">
        <v>295</v>
      </c>
    </row>
    <row r="27" spans="1:7" x14ac:dyDescent="0.2">
      <c r="A27" s="4" t="s">
        <v>296</v>
      </c>
    </row>
    <row r="28" spans="1:7" x14ac:dyDescent="0.2">
      <c r="A28" s="4" t="s">
        <v>297</v>
      </c>
    </row>
    <row r="29" spans="1:7" x14ac:dyDescent="0.2">
      <c r="A29" s="23" t="s">
        <v>298</v>
      </c>
    </row>
    <row r="30" spans="1:7" x14ac:dyDescent="0.2">
      <c r="A30" s="4" t="s">
        <v>299</v>
      </c>
    </row>
    <row r="31" spans="1:7" x14ac:dyDescent="0.2">
      <c r="A31" s="4" t="s">
        <v>300</v>
      </c>
    </row>
    <row r="32" spans="1:7" x14ac:dyDescent="0.2">
      <c r="A32" s="4" t="s">
        <v>301</v>
      </c>
    </row>
  </sheetData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22"/>
  <sheetViews>
    <sheetView workbookViewId="0">
      <pane ySplit="2" topLeftCell="A90" activePane="bottomLeft" state="frozen"/>
      <selection pane="bottomLeft"/>
    </sheetView>
  </sheetViews>
  <sheetFormatPr baseColWidth="10" defaultColWidth="8.83203125" defaultRowHeight="15" x14ac:dyDescent="0.2"/>
  <cols>
    <col min="1" max="1" width="57.1640625" customWidth="1"/>
    <col min="2" max="2" width="20" customWidth="1"/>
    <col min="3" max="3" width="31.5" customWidth="1"/>
    <col min="4" max="4" width="24.6640625" customWidth="1"/>
    <col min="5" max="5" width="21" customWidth="1"/>
    <col min="6" max="6" width="25.5" customWidth="1"/>
    <col min="7" max="7" width="15.33203125" customWidth="1"/>
    <col min="8" max="9" width="13" customWidth="1"/>
    <col min="10" max="10" width="29" customWidth="1"/>
    <col min="11" max="11" width="18" customWidth="1"/>
    <col min="12" max="12" width="21" customWidth="1"/>
    <col min="14" max="14" width="23" customWidth="1"/>
    <col min="15" max="15" width="14" customWidth="1"/>
  </cols>
  <sheetData>
    <row r="1" spans="1:5" ht="20" x14ac:dyDescent="0.25">
      <c r="A1" s="25" t="s">
        <v>302</v>
      </c>
    </row>
    <row r="2" spans="1:5" x14ac:dyDescent="0.2">
      <c r="A2" s="26" t="s">
        <v>579</v>
      </c>
    </row>
    <row r="4" spans="1:5" ht="16" x14ac:dyDescent="0.2">
      <c r="A4" s="27" t="s">
        <v>303</v>
      </c>
    </row>
    <row r="5" spans="1:5" x14ac:dyDescent="0.2">
      <c r="A5" s="33" t="s">
        <v>304</v>
      </c>
    </row>
    <row r="6" spans="1:5" x14ac:dyDescent="0.2">
      <c r="A6" s="33" t="s">
        <v>305</v>
      </c>
    </row>
    <row r="7" spans="1:5" x14ac:dyDescent="0.2">
      <c r="A7" s="33" t="s">
        <v>306</v>
      </c>
    </row>
    <row r="8" spans="1:5" x14ac:dyDescent="0.2">
      <c r="A8" s="33" t="s">
        <v>307</v>
      </c>
    </row>
    <row r="9" spans="1:5" x14ac:dyDescent="0.2">
      <c r="A9" s="33" t="s">
        <v>308</v>
      </c>
    </row>
    <row r="11" spans="1:5" ht="16" x14ac:dyDescent="0.2">
      <c r="A11" s="27" t="s">
        <v>309</v>
      </c>
    </row>
    <row r="12" spans="1:5" x14ac:dyDescent="0.2">
      <c r="A12" s="34" t="s">
        <v>310</v>
      </c>
      <c r="B12" s="34" t="s">
        <v>311</v>
      </c>
      <c r="C12" s="34" t="s">
        <v>312</v>
      </c>
      <c r="D12" s="34" t="s">
        <v>313</v>
      </c>
      <c r="E12" s="34" t="s">
        <v>314</v>
      </c>
    </row>
    <row r="13" spans="1:5" x14ac:dyDescent="0.2">
      <c r="A13" s="35" t="s">
        <v>315</v>
      </c>
      <c r="B13" s="35" t="s">
        <v>316</v>
      </c>
      <c r="C13" s="35" t="s">
        <v>317</v>
      </c>
      <c r="D13" s="35" t="s">
        <v>318</v>
      </c>
      <c r="E13" s="35" t="s">
        <v>319</v>
      </c>
    </row>
    <row r="14" spans="1:5" x14ac:dyDescent="0.2">
      <c r="A14" s="35" t="s">
        <v>320</v>
      </c>
      <c r="B14" s="35" t="s">
        <v>321</v>
      </c>
      <c r="C14" s="35" t="s">
        <v>322</v>
      </c>
      <c r="D14" s="35" t="s">
        <v>323</v>
      </c>
      <c r="E14" s="35" t="s">
        <v>324</v>
      </c>
    </row>
    <row r="15" spans="1:5" x14ac:dyDescent="0.2">
      <c r="A15" s="35" t="s">
        <v>325</v>
      </c>
      <c r="B15" s="35" t="s">
        <v>326</v>
      </c>
      <c r="C15" s="35" t="s">
        <v>322</v>
      </c>
      <c r="D15" s="35" t="s">
        <v>327</v>
      </c>
      <c r="E15" s="35" t="s">
        <v>328</v>
      </c>
    </row>
    <row r="16" spans="1:5" x14ac:dyDescent="0.2">
      <c r="A16" s="35" t="s">
        <v>329</v>
      </c>
      <c r="B16" s="35" t="s">
        <v>330</v>
      </c>
      <c r="C16" s="35" t="s">
        <v>322</v>
      </c>
      <c r="D16" s="35" t="s">
        <v>331</v>
      </c>
      <c r="E16" s="35" t="s">
        <v>332</v>
      </c>
    </row>
    <row r="17" spans="1:15" x14ac:dyDescent="0.2">
      <c r="A17" s="35" t="s">
        <v>333</v>
      </c>
      <c r="B17" s="35" t="s">
        <v>334</v>
      </c>
      <c r="C17" s="35" t="s">
        <v>317</v>
      </c>
      <c r="D17" s="35" t="s">
        <v>335</v>
      </c>
      <c r="E17" s="35" t="s">
        <v>336</v>
      </c>
    </row>
    <row r="18" spans="1:15" x14ac:dyDescent="0.2">
      <c r="A18" s="35" t="s">
        <v>337</v>
      </c>
      <c r="B18" s="35" t="s">
        <v>338</v>
      </c>
      <c r="C18" s="35" t="s">
        <v>322</v>
      </c>
      <c r="D18" s="35" t="s">
        <v>339</v>
      </c>
      <c r="E18" s="35" t="s">
        <v>340</v>
      </c>
    </row>
    <row r="19" spans="1:15" x14ac:dyDescent="0.2">
      <c r="A19" s="38" t="s">
        <v>341</v>
      </c>
      <c r="B19" s="38" t="s">
        <v>342</v>
      </c>
      <c r="C19" s="38" t="s">
        <v>317</v>
      </c>
      <c r="D19" s="38" t="s">
        <v>343</v>
      </c>
      <c r="E19" s="38" t="s">
        <v>344</v>
      </c>
    </row>
    <row r="21" spans="1:15" ht="16" x14ac:dyDescent="0.2">
      <c r="A21" s="27" t="s">
        <v>345</v>
      </c>
    </row>
    <row r="22" spans="1:15" x14ac:dyDescent="0.2">
      <c r="A22" s="6" t="s">
        <v>346</v>
      </c>
      <c r="B22" s="6" t="s">
        <v>347</v>
      </c>
      <c r="C22" s="6" t="s">
        <v>348</v>
      </c>
      <c r="D22" s="6" t="s">
        <v>349</v>
      </c>
      <c r="E22" s="6" t="s">
        <v>350</v>
      </c>
      <c r="F22" s="6" t="s">
        <v>351</v>
      </c>
    </row>
    <row r="23" spans="1:15" x14ac:dyDescent="0.2">
      <c r="A23" t="s">
        <v>352</v>
      </c>
      <c r="B23" t="s">
        <v>353</v>
      </c>
      <c r="C23" s="7">
        <f>4</f>
        <v>4</v>
      </c>
      <c r="D23" s="7">
        <f>15-C23</f>
        <v>11</v>
      </c>
      <c r="E23" t="s">
        <v>354</v>
      </c>
      <c r="F23" s="28"/>
    </row>
    <row r="24" spans="1:15" x14ac:dyDescent="0.2">
      <c r="A24" t="s">
        <v>355</v>
      </c>
      <c r="B24">
        <v>11</v>
      </c>
      <c r="C24" s="7">
        <f>1</f>
        <v>1</v>
      </c>
      <c r="D24" s="7">
        <f>11-C24</f>
        <v>10</v>
      </c>
      <c r="E24" t="s">
        <v>356</v>
      </c>
      <c r="F24" s="28"/>
    </row>
    <row r="25" spans="1:15" x14ac:dyDescent="0.2">
      <c r="A25" t="s">
        <v>357</v>
      </c>
      <c r="B25" t="s">
        <v>358</v>
      </c>
      <c r="C25" s="7">
        <f>0</f>
        <v>0</v>
      </c>
      <c r="D25" s="7">
        <f>10-C25</f>
        <v>10</v>
      </c>
      <c r="E25" t="s">
        <v>359</v>
      </c>
      <c r="F25" s="28"/>
    </row>
    <row r="26" spans="1:15" x14ac:dyDescent="0.2">
      <c r="A26" t="s">
        <v>360</v>
      </c>
      <c r="B26" t="s">
        <v>358</v>
      </c>
      <c r="C26" s="7">
        <f>0</f>
        <v>0</v>
      </c>
      <c r="D26" s="7">
        <f>10-C26</f>
        <v>10</v>
      </c>
      <c r="E26" t="s">
        <v>359</v>
      </c>
      <c r="F26" s="28"/>
    </row>
    <row r="28" spans="1:15" x14ac:dyDescent="0.2">
      <c r="A28" s="32" t="s">
        <v>361</v>
      </c>
    </row>
    <row r="29" spans="1:15" x14ac:dyDescent="0.2">
      <c r="A29" s="32" t="s">
        <v>362</v>
      </c>
    </row>
    <row r="31" spans="1:15" ht="16" x14ac:dyDescent="0.2">
      <c r="A31" s="27" t="s">
        <v>363</v>
      </c>
      <c r="H31" s="64"/>
      <c r="I31" s="64"/>
      <c r="J31" s="64"/>
      <c r="K31" s="64"/>
      <c r="N31" s="74" t="s">
        <v>406</v>
      </c>
      <c r="O31" s="75"/>
    </row>
    <row r="32" spans="1:15" ht="16" x14ac:dyDescent="0.2">
      <c r="A32" s="34" t="s">
        <v>0</v>
      </c>
      <c r="B32" s="34" t="s">
        <v>1</v>
      </c>
      <c r="C32" s="34" t="s">
        <v>364</v>
      </c>
      <c r="D32" s="34" t="s">
        <v>365</v>
      </c>
      <c r="E32" s="34" t="s">
        <v>366</v>
      </c>
      <c r="F32" s="34" t="s">
        <v>367</v>
      </c>
      <c r="G32" s="34" t="s">
        <v>368</v>
      </c>
      <c r="H32" s="45" t="s">
        <v>407</v>
      </c>
      <c r="I32" s="46" t="s">
        <v>408</v>
      </c>
      <c r="J32" s="46" t="s">
        <v>409</v>
      </c>
      <c r="K32" s="47" t="s">
        <v>410</v>
      </c>
      <c r="L32" s="71" t="s">
        <v>411</v>
      </c>
      <c r="N32" s="76" t="s">
        <v>412</v>
      </c>
      <c r="O32" s="77">
        <v>116</v>
      </c>
    </row>
    <row r="33" spans="1:15" ht="16" x14ac:dyDescent="0.2">
      <c r="A33" s="35" t="s">
        <v>20</v>
      </c>
      <c r="B33" s="36">
        <v>19</v>
      </c>
      <c r="C33" s="36" t="s">
        <v>369</v>
      </c>
      <c r="D33" s="35" t="s">
        <v>370</v>
      </c>
      <c r="E33" s="43">
        <v>4.99</v>
      </c>
      <c r="F33" s="41" t="str">
        <f>HYPERLINK("https://shop.thirdeyecomics.com/collections/absolute-batman-19-absolute-scarecrow","Third Eye - variants in stock")</f>
        <v>Third Eye - variants in stock</v>
      </c>
      <c r="G33" s="37" t="s">
        <v>413</v>
      </c>
      <c r="H33" s="56" t="s">
        <v>414</v>
      </c>
      <c r="I33" s="57">
        <v>46273</v>
      </c>
      <c r="J33" s="58" t="s">
        <v>415</v>
      </c>
      <c r="K33" s="59" t="s">
        <v>416</v>
      </c>
      <c r="L33" s="72" t="s">
        <v>417</v>
      </c>
      <c r="N33" s="76" t="s">
        <v>418</v>
      </c>
      <c r="O33" s="77">
        <v>13</v>
      </c>
    </row>
    <row r="34" spans="1:15" ht="16" x14ac:dyDescent="0.2">
      <c r="A34" s="35" t="s">
        <v>20</v>
      </c>
      <c r="B34" s="36">
        <v>20</v>
      </c>
      <c r="C34" s="36" t="s">
        <v>369</v>
      </c>
      <c r="D34" s="35" t="s">
        <v>370</v>
      </c>
      <c r="E34" s="43">
        <v>5.99</v>
      </c>
      <c r="F34" s="41" t="str">
        <f>HYPERLINK("https://shop.thirdeyecomics.com/products/mar26cat-absolute-batman-20-cvr-a-nick-dragotta","Third Eye - $4.99")</f>
        <v>Third Eye - $4.99</v>
      </c>
      <c r="G34" s="37" t="s">
        <v>413</v>
      </c>
      <c r="H34" s="60" t="s">
        <v>414</v>
      </c>
      <c r="I34" s="61">
        <v>46273</v>
      </c>
      <c r="J34" s="62" t="s">
        <v>415</v>
      </c>
      <c r="K34" s="63" t="s">
        <v>416</v>
      </c>
      <c r="L34" s="72" t="s">
        <v>417</v>
      </c>
      <c r="N34" s="76" t="s">
        <v>419</v>
      </c>
      <c r="O34" s="77">
        <v>29</v>
      </c>
    </row>
    <row r="35" spans="1:15" ht="16" x14ac:dyDescent="0.2">
      <c r="A35" s="35" t="s">
        <v>20</v>
      </c>
      <c r="B35" s="36">
        <v>21</v>
      </c>
      <c r="C35" s="36" t="s">
        <v>369</v>
      </c>
      <c r="D35" s="35" t="s">
        <v>370</v>
      </c>
      <c r="E35" s="43">
        <v>19.989999999999998</v>
      </c>
      <c r="F35" s="41" t="str">
        <f>HYPERLINK("https://shop.thirdeyecomics.com/collections/absolute-batman-29","Third Eye - $5.99 variant")</f>
        <v>Third Eye - $5.99 variant</v>
      </c>
      <c r="G35" s="37" t="s">
        <v>413</v>
      </c>
      <c r="H35" s="60" t="s">
        <v>414</v>
      </c>
      <c r="I35" s="61">
        <v>46273</v>
      </c>
      <c r="J35" s="62" t="s">
        <v>415</v>
      </c>
      <c r="K35" s="63" t="s">
        <v>416</v>
      </c>
      <c r="L35" s="72" t="s">
        <v>417</v>
      </c>
      <c r="N35" s="76" t="s">
        <v>420</v>
      </c>
      <c r="O35" s="78">
        <v>46273</v>
      </c>
    </row>
    <row r="36" spans="1:15" ht="16" x14ac:dyDescent="0.2">
      <c r="A36" s="35" t="s">
        <v>20</v>
      </c>
      <c r="B36" s="36">
        <v>22</v>
      </c>
      <c r="C36" s="36" t="s">
        <v>369</v>
      </c>
      <c r="D36" s="35" t="s">
        <v>370</v>
      </c>
      <c r="E36" s="43">
        <v>4.99</v>
      </c>
      <c r="F36" s="41" t="str">
        <f>HYPERLINK("https://shop.thirdeyecomics.com/collections/absolute-batman-22-origin-of-harley-quinn","Third Eye - $4.99")</f>
        <v>Third Eye - $4.99</v>
      </c>
      <c r="G36" s="37" t="s">
        <v>413</v>
      </c>
      <c r="H36" s="60" t="s">
        <v>414</v>
      </c>
      <c r="I36" s="61">
        <v>46273</v>
      </c>
      <c r="J36" s="62" t="s">
        <v>415</v>
      </c>
      <c r="K36" s="63" t="s">
        <v>416</v>
      </c>
      <c r="L36" s="72" t="s">
        <v>417</v>
      </c>
    </row>
    <row r="37" spans="1:15" ht="16" x14ac:dyDescent="0.2">
      <c r="A37" s="35" t="s">
        <v>20</v>
      </c>
      <c r="B37" s="36">
        <v>23</v>
      </c>
      <c r="C37" s="36" t="s">
        <v>369</v>
      </c>
      <c r="D37" s="35" t="s">
        <v>370</v>
      </c>
      <c r="E37" s="43">
        <v>4.99</v>
      </c>
      <c r="F37" s="41" t="str">
        <f>HYPERLINK("https://shop.thirdeyecomics.com/collections/absolute-batman-23-absolute-clayface","Third Eye - $4.99")</f>
        <v>Third Eye - $4.99</v>
      </c>
      <c r="G37" s="37" t="s">
        <v>413</v>
      </c>
      <c r="H37" s="60" t="s">
        <v>414</v>
      </c>
      <c r="I37" s="61">
        <v>46273</v>
      </c>
      <c r="J37" s="62" t="s">
        <v>415</v>
      </c>
      <c r="K37" s="63" t="s">
        <v>416</v>
      </c>
      <c r="L37" s="72" t="s">
        <v>417</v>
      </c>
    </row>
    <row r="38" spans="1:15" ht="16" x14ac:dyDescent="0.2">
      <c r="A38" s="35" t="s">
        <v>94</v>
      </c>
      <c r="B38" s="36">
        <v>18</v>
      </c>
      <c r="C38" s="36" t="s">
        <v>369</v>
      </c>
      <c r="D38" s="35" t="s">
        <v>371</v>
      </c>
      <c r="E38" s="43">
        <v>4.99</v>
      </c>
      <c r="F38" s="41" t="str">
        <f>HYPERLINK("https://shop.thirdeyecomics.com/collections/absolute-flash","Third Eye - $4.99")</f>
        <v>Third Eye - $4.99</v>
      </c>
      <c r="G38" s="37" t="s">
        <v>413</v>
      </c>
      <c r="H38" s="60" t="s">
        <v>414</v>
      </c>
      <c r="I38" s="61">
        <v>46273</v>
      </c>
      <c r="J38" s="62" t="s">
        <v>415</v>
      </c>
      <c r="K38" s="63" t="s">
        <v>416</v>
      </c>
      <c r="L38" s="72" t="s">
        <v>417</v>
      </c>
    </row>
    <row r="39" spans="1:15" ht="16" x14ac:dyDescent="0.2">
      <c r="A39" s="35" t="s">
        <v>121</v>
      </c>
      <c r="B39" s="36">
        <v>3</v>
      </c>
      <c r="C39" s="36" t="s">
        <v>369</v>
      </c>
      <c r="D39" s="35" t="s">
        <v>371</v>
      </c>
      <c r="E39" s="43"/>
      <c r="F39" s="41" t="s">
        <v>586</v>
      </c>
      <c r="G39" s="37"/>
      <c r="H39" s="50"/>
      <c r="I39" s="52"/>
      <c r="J39" s="48"/>
      <c r="K39" s="54"/>
      <c r="L39" s="73" t="s">
        <v>418</v>
      </c>
    </row>
    <row r="40" spans="1:15" ht="16" x14ac:dyDescent="0.2">
      <c r="A40" s="35" t="s">
        <v>121</v>
      </c>
      <c r="B40" s="36">
        <v>4</v>
      </c>
      <c r="C40" s="36" t="s">
        <v>369</v>
      </c>
      <c r="D40" s="35" t="s">
        <v>371</v>
      </c>
      <c r="E40" s="43">
        <v>4.99</v>
      </c>
      <c r="F40" s="41" t="str">
        <f>HYPERLINK("https://shop.thirdeyecomics.com/collections/june-2026-catalog","Third Eye - $4.99")</f>
        <v>Third Eye - $4.99</v>
      </c>
      <c r="G40" s="37" t="s">
        <v>413</v>
      </c>
      <c r="H40" s="60" t="s">
        <v>414</v>
      </c>
      <c r="I40" s="61">
        <v>46273</v>
      </c>
      <c r="J40" s="62" t="s">
        <v>415</v>
      </c>
      <c r="K40" s="63" t="s">
        <v>416</v>
      </c>
      <c r="L40" s="72" t="s">
        <v>417</v>
      </c>
    </row>
    <row r="41" spans="1:15" ht="16" x14ac:dyDescent="0.2">
      <c r="A41" s="35" t="s">
        <v>173</v>
      </c>
      <c r="B41" s="36">
        <v>12</v>
      </c>
      <c r="C41" s="36" t="s">
        <v>372</v>
      </c>
      <c r="D41" s="35" t="s">
        <v>373</v>
      </c>
      <c r="E41" s="43">
        <v>5.99</v>
      </c>
      <c r="F41" s="41" t="str">
        <f>HYPERLINK("https://www.ebay.com/sch/i.html?_nkw=absolute+superman+12+comic","eBay - live search")</f>
        <v>eBay - live search</v>
      </c>
      <c r="G41" s="37" t="s">
        <v>413</v>
      </c>
      <c r="H41" s="60" t="s">
        <v>414</v>
      </c>
      <c r="I41" s="61">
        <v>46273</v>
      </c>
      <c r="J41" s="62" t="s">
        <v>415</v>
      </c>
      <c r="K41" s="63" t="s">
        <v>416</v>
      </c>
      <c r="L41" s="72" t="s">
        <v>417</v>
      </c>
    </row>
    <row r="42" spans="1:15" ht="16" x14ac:dyDescent="0.2">
      <c r="A42" s="35" t="s">
        <v>173</v>
      </c>
      <c r="B42" s="36">
        <v>13</v>
      </c>
      <c r="C42" s="36" t="s">
        <v>372</v>
      </c>
      <c r="D42" s="35" t="s">
        <v>373</v>
      </c>
      <c r="E42" s="43">
        <v>5.99</v>
      </c>
      <c r="F42" s="41" t="str">
        <f>HYPERLINK("https://www.ebay.com/sch/i.html?_nkw=absolute+superman+13+comic","eBay - live search")</f>
        <v>eBay - live search</v>
      </c>
      <c r="G42" s="37" t="s">
        <v>413</v>
      </c>
      <c r="H42" s="60" t="s">
        <v>414</v>
      </c>
      <c r="I42" s="61">
        <v>46273</v>
      </c>
      <c r="J42" s="62" t="s">
        <v>415</v>
      </c>
      <c r="K42" s="63" t="s">
        <v>416</v>
      </c>
      <c r="L42" s="72" t="s">
        <v>417</v>
      </c>
    </row>
    <row r="43" spans="1:15" ht="16" x14ac:dyDescent="0.2">
      <c r="A43" s="35" t="s">
        <v>173</v>
      </c>
      <c r="B43" s="36">
        <v>14</v>
      </c>
      <c r="C43" s="36" t="s">
        <v>372</v>
      </c>
      <c r="D43" s="35" t="s">
        <v>373</v>
      </c>
      <c r="E43" s="43">
        <v>4.99</v>
      </c>
      <c r="F43" s="41" t="str">
        <f>HYPERLINK("https://www.ebay.com/sch/i.html?_nkw=absolute+superman+14+comic","eBay - pick-your-issue seen")</f>
        <v>eBay - pick-your-issue seen</v>
      </c>
      <c r="G43" s="37" t="s">
        <v>413</v>
      </c>
      <c r="H43" s="60" t="s">
        <v>414</v>
      </c>
      <c r="I43" s="61">
        <v>46273</v>
      </c>
      <c r="J43" s="62" t="s">
        <v>415</v>
      </c>
      <c r="K43" s="63" t="s">
        <v>416</v>
      </c>
      <c r="L43" s="72" t="s">
        <v>417</v>
      </c>
    </row>
    <row r="44" spans="1:15" ht="16" x14ac:dyDescent="0.2">
      <c r="A44" s="35" t="s">
        <v>173</v>
      </c>
      <c r="B44" s="36">
        <v>15</v>
      </c>
      <c r="C44" s="36" t="s">
        <v>372</v>
      </c>
      <c r="D44" s="35" t="s">
        <v>373</v>
      </c>
      <c r="E44" s="43"/>
      <c r="F44" s="41" t="s">
        <v>577</v>
      </c>
      <c r="G44" s="37"/>
      <c r="H44" s="50"/>
      <c r="I44" s="52"/>
      <c r="J44" s="48"/>
      <c r="K44" s="54"/>
      <c r="L44" s="73" t="s">
        <v>418</v>
      </c>
    </row>
    <row r="45" spans="1:15" ht="16" x14ac:dyDescent="0.2">
      <c r="A45" s="35" t="s">
        <v>173</v>
      </c>
      <c r="B45" s="36">
        <v>16</v>
      </c>
      <c r="C45" s="36" t="s">
        <v>372</v>
      </c>
      <c r="D45" s="35" t="s">
        <v>373</v>
      </c>
      <c r="E45" s="43">
        <v>4.99</v>
      </c>
      <c r="F45" s="41" t="str">
        <f>HYPERLINK("https://www.ebay.com/sch/i.html?_nkw=absolute+superman+16+comic","eBay - live search")</f>
        <v>eBay - live search</v>
      </c>
      <c r="G45" s="37" t="s">
        <v>413</v>
      </c>
      <c r="H45" s="60" t="s">
        <v>414</v>
      </c>
      <c r="I45" s="61">
        <v>46273</v>
      </c>
      <c r="J45" s="62" t="s">
        <v>415</v>
      </c>
      <c r="K45" s="63" t="s">
        <v>416</v>
      </c>
      <c r="L45" s="72" t="s">
        <v>417</v>
      </c>
    </row>
    <row r="46" spans="1:15" ht="16" x14ac:dyDescent="0.2">
      <c r="A46" s="35" t="s">
        <v>173</v>
      </c>
      <c r="B46" s="36">
        <v>19</v>
      </c>
      <c r="C46" s="36" t="s">
        <v>372</v>
      </c>
      <c r="D46" s="35" t="s">
        <v>373</v>
      </c>
      <c r="E46" s="43">
        <v>4.99</v>
      </c>
      <c r="F46" s="41" t="str">
        <f>HYPERLINK("https://www.ebay.com/sch/i.html?_nkw=absolute+superman+19+comic","eBay - live search")</f>
        <v>eBay - live search</v>
      </c>
      <c r="G46" s="37" t="s">
        <v>413</v>
      </c>
      <c r="H46" s="60" t="s">
        <v>414</v>
      </c>
      <c r="I46" s="61">
        <v>46273</v>
      </c>
      <c r="J46" s="62" t="s">
        <v>415</v>
      </c>
      <c r="K46" s="63" t="s">
        <v>416</v>
      </c>
      <c r="L46" s="72" t="s">
        <v>417</v>
      </c>
    </row>
    <row r="47" spans="1:15" ht="16" x14ac:dyDescent="0.2">
      <c r="A47" s="35" t="s">
        <v>173</v>
      </c>
      <c r="B47" s="36">
        <v>21</v>
      </c>
      <c r="C47" s="36" t="s">
        <v>372</v>
      </c>
      <c r="D47" s="35" t="s">
        <v>373</v>
      </c>
      <c r="E47" s="43">
        <v>4.99</v>
      </c>
      <c r="F47" s="41" t="str">
        <f>HYPERLINK("https://shop.thirdeyecomics.com/products/may26cat-absolute-superman-21-cvr-a-rafa-sandoval","Third Eye - $4.99")</f>
        <v>Third Eye - $4.99</v>
      </c>
      <c r="G47" s="37" t="s">
        <v>413</v>
      </c>
      <c r="H47" s="60" t="s">
        <v>414</v>
      </c>
      <c r="I47" s="61">
        <v>46273</v>
      </c>
      <c r="J47" s="62" t="s">
        <v>415</v>
      </c>
      <c r="K47" s="63" t="s">
        <v>416</v>
      </c>
      <c r="L47" s="72" t="s">
        <v>417</v>
      </c>
    </row>
    <row r="48" spans="1:15" ht="16" x14ac:dyDescent="0.2">
      <c r="A48" s="35" t="s">
        <v>242</v>
      </c>
      <c r="B48" s="36">
        <v>11</v>
      </c>
      <c r="C48" s="36" t="s">
        <v>372</v>
      </c>
      <c r="D48" s="35" t="s">
        <v>373</v>
      </c>
      <c r="E48" s="43"/>
      <c r="F48" s="41" t="s">
        <v>587</v>
      </c>
      <c r="G48" s="37"/>
      <c r="H48" s="50"/>
      <c r="I48" s="52"/>
      <c r="J48" s="48"/>
      <c r="K48" s="54"/>
      <c r="L48" s="73" t="s">
        <v>418</v>
      </c>
    </row>
    <row r="49" spans="1:12" ht="16" x14ac:dyDescent="0.2">
      <c r="A49" s="35" t="s">
        <v>242</v>
      </c>
      <c r="B49" s="36">
        <v>14</v>
      </c>
      <c r="C49" s="36" t="s">
        <v>372</v>
      </c>
      <c r="D49" s="35" t="s">
        <v>373</v>
      </c>
      <c r="E49" s="43"/>
      <c r="F49" s="41" t="s">
        <v>577</v>
      </c>
      <c r="G49" s="37"/>
      <c r="H49" s="50"/>
      <c r="I49" s="52"/>
      <c r="J49" s="48"/>
      <c r="K49" s="54"/>
      <c r="L49" s="73" t="s">
        <v>418</v>
      </c>
    </row>
    <row r="50" spans="1:12" ht="16" x14ac:dyDescent="0.2">
      <c r="A50" s="35" t="s">
        <v>242</v>
      </c>
      <c r="B50" s="36">
        <v>16</v>
      </c>
      <c r="C50" s="36" t="s">
        <v>372</v>
      </c>
      <c r="D50" s="35" t="s">
        <v>373</v>
      </c>
      <c r="E50" s="43">
        <v>4.99</v>
      </c>
      <c r="F50" s="41" t="str">
        <f>HYPERLINK("https://www.ebay.com/sch/i.html?_nkw=absolute+wonder+woman+16+comic","eBay - live search")</f>
        <v>eBay - live search</v>
      </c>
      <c r="G50" s="37" t="s">
        <v>413</v>
      </c>
      <c r="H50" s="60" t="s">
        <v>414</v>
      </c>
      <c r="I50" s="61">
        <v>46273</v>
      </c>
      <c r="J50" s="62" t="s">
        <v>415</v>
      </c>
      <c r="K50" s="63" t="s">
        <v>416</v>
      </c>
      <c r="L50" s="72" t="s">
        <v>417</v>
      </c>
    </row>
    <row r="51" spans="1:12" ht="16" x14ac:dyDescent="0.2">
      <c r="A51" s="35" t="s">
        <v>242</v>
      </c>
      <c r="B51" s="36">
        <v>19</v>
      </c>
      <c r="C51" s="36" t="s">
        <v>372</v>
      </c>
      <c r="D51" s="35" t="s">
        <v>373</v>
      </c>
      <c r="E51" s="43">
        <v>5.99</v>
      </c>
      <c r="F51" s="41" t="str">
        <f>HYPERLINK("https://www.ebay.com/sch/i.html?_nkw=absolute+wonder+woman+19+comic","eBay - live search")</f>
        <v>eBay - live search</v>
      </c>
      <c r="G51" s="37" t="s">
        <v>413</v>
      </c>
      <c r="H51" s="60" t="s">
        <v>414</v>
      </c>
      <c r="I51" s="61">
        <v>46273</v>
      </c>
      <c r="J51" s="62" t="s">
        <v>415</v>
      </c>
      <c r="K51" s="63" t="s">
        <v>416</v>
      </c>
      <c r="L51" s="72" t="s">
        <v>417</v>
      </c>
    </row>
    <row r="52" spans="1:12" ht="16" x14ac:dyDescent="0.2">
      <c r="A52" s="35" t="s">
        <v>242</v>
      </c>
      <c r="B52" s="36">
        <v>20</v>
      </c>
      <c r="C52" s="36" t="s">
        <v>372</v>
      </c>
      <c r="D52" s="35" t="s">
        <v>373</v>
      </c>
      <c r="E52" s="43">
        <v>5.5</v>
      </c>
      <c r="F52" s="41" t="s">
        <v>611</v>
      </c>
      <c r="G52" s="37" t="s">
        <v>413</v>
      </c>
      <c r="H52" s="56">
        <v>4333644</v>
      </c>
      <c r="I52" s="57">
        <v>46274</v>
      </c>
      <c r="J52" s="58" t="s">
        <v>612</v>
      </c>
      <c r="K52" s="59" t="s">
        <v>416</v>
      </c>
      <c r="L52" s="72" t="s">
        <v>417</v>
      </c>
    </row>
    <row r="53" spans="1:12" ht="16" x14ac:dyDescent="0.2">
      <c r="A53" s="35" t="s">
        <v>242</v>
      </c>
      <c r="B53" s="36">
        <v>21</v>
      </c>
      <c r="C53" s="36" t="s">
        <v>372</v>
      </c>
      <c r="D53" s="35" t="s">
        <v>373</v>
      </c>
      <c r="E53" s="43"/>
      <c r="F53" s="41" t="s">
        <v>588</v>
      </c>
      <c r="G53" s="37"/>
      <c r="H53" s="50"/>
      <c r="I53" s="52"/>
      <c r="J53" s="48"/>
      <c r="K53" s="54"/>
      <c r="L53" s="73" t="s">
        <v>418</v>
      </c>
    </row>
    <row r="54" spans="1:12" ht="16" x14ac:dyDescent="0.2">
      <c r="A54" s="35" t="s">
        <v>94</v>
      </c>
      <c r="B54" s="36">
        <v>14</v>
      </c>
      <c r="C54" s="36" t="s">
        <v>372</v>
      </c>
      <c r="D54" s="35" t="s">
        <v>373</v>
      </c>
      <c r="E54" s="43">
        <v>4.99</v>
      </c>
      <c r="F54" s="41" t="str">
        <f>HYPERLINK("https://shop.thirdeyecomics.com/collections/absolute-flash","Third Eye - $4.99")</f>
        <v>Third Eye - $4.99</v>
      </c>
      <c r="G54" s="37" t="s">
        <v>413</v>
      </c>
      <c r="H54" s="60" t="s">
        <v>414</v>
      </c>
      <c r="I54" s="61">
        <v>46273</v>
      </c>
      <c r="J54" s="62" t="s">
        <v>415</v>
      </c>
      <c r="K54" s="63" t="s">
        <v>416</v>
      </c>
      <c r="L54" s="72" t="s">
        <v>417</v>
      </c>
    </row>
    <row r="55" spans="1:12" ht="16" x14ac:dyDescent="0.2">
      <c r="A55" s="35" t="s">
        <v>94</v>
      </c>
      <c r="B55" s="36">
        <v>15</v>
      </c>
      <c r="C55" s="36" t="s">
        <v>372</v>
      </c>
      <c r="D55" s="35" t="s">
        <v>373</v>
      </c>
      <c r="E55" s="43">
        <v>4.99</v>
      </c>
      <c r="F55" s="41" t="str">
        <f>HYPERLINK("https://shop.thirdeyecomics.com/collections/absolute-flash","Third Eye - $4.99")</f>
        <v>Third Eye - $4.99</v>
      </c>
      <c r="G55" s="37" t="s">
        <v>413</v>
      </c>
      <c r="H55" s="60" t="s">
        <v>414</v>
      </c>
      <c r="I55" s="61">
        <v>46273</v>
      </c>
      <c r="J55" s="62" t="s">
        <v>415</v>
      </c>
      <c r="K55" s="63" t="s">
        <v>416</v>
      </c>
      <c r="L55" s="72" t="s">
        <v>417</v>
      </c>
    </row>
    <row r="56" spans="1:12" ht="16" x14ac:dyDescent="0.2">
      <c r="A56" s="35" t="s">
        <v>94</v>
      </c>
      <c r="B56" s="36">
        <v>16</v>
      </c>
      <c r="C56" s="36" t="s">
        <v>372</v>
      </c>
      <c r="D56" s="35" t="s">
        <v>373</v>
      </c>
      <c r="E56" s="43">
        <v>4.99</v>
      </c>
      <c r="F56" s="41" t="str">
        <f>HYPERLINK("https://shop.thirdeyecomics.com/collections/absolute-flash","Third Eye - $4.99")</f>
        <v>Third Eye - $4.99</v>
      </c>
      <c r="G56" s="37" t="s">
        <v>413</v>
      </c>
      <c r="H56" s="60" t="s">
        <v>414</v>
      </c>
      <c r="I56" s="61">
        <v>46273</v>
      </c>
      <c r="J56" s="62" t="s">
        <v>415</v>
      </c>
      <c r="K56" s="63" t="s">
        <v>416</v>
      </c>
      <c r="L56" s="72" t="s">
        <v>417</v>
      </c>
    </row>
    <row r="57" spans="1:12" ht="16" x14ac:dyDescent="0.2">
      <c r="A57" s="35" t="s">
        <v>126</v>
      </c>
      <c r="B57" s="36">
        <v>13</v>
      </c>
      <c r="C57" s="36" t="s">
        <v>372</v>
      </c>
      <c r="D57" s="35" t="s">
        <v>373</v>
      </c>
      <c r="E57" s="43"/>
      <c r="F57" s="41" t="s">
        <v>586</v>
      </c>
      <c r="G57" s="37"/>
      <c r="H57" s="50"/>
      <c r="I57" s="52"/>
      <c r="J57" s="48"/>
      <c r="K57" s="54"/>
      <c r="L57" s="73" t="s">
        <v>418</v>
      </c>
    </row>
    <row r="58" spans="1:12" ht="16" x14ac:dyDescent="0.2">
      <c r="A58" s="35" t="s">
        <v>126</v>
      </c>
      <c r="B58" s="36">
        <v>14</v>
      </c>
      <c r="C58" s="36" t="s">
        <v>372</v>
      </c>
      <c r="D58" s="35" t="s">
        <v>373</v>
      </c>
      <c r="E58" s="43">
        <v>5.99</v>
      </c>
      <c r="F58" s="41" t="str">
        <f>HYPERLINK("https://shop.thirdeyecomics.com/collections/absolute-green-lantern","Third Eye - $4.99")</f>
        <v>Third Eye - $4.99</v>
      </c>
      <c r="G58" s="37" t="s">
        <v>413</v>
      </c>
      <c r="H58" s="60" t="s">
        <v>414</v>
      </c>
      <c r="I58" s="61">
        <v>46273</v>
      </c>
      <c r="J58" s="62" t="s">
        <v>415</v>
      </c>
      <c r="K58" s="63" t="s">
        <v>416</v>
      </c>
      <c r="L58" s="72" t="s">
        <v>417</v>
      </c>
    </row>
    <row r="59" spans="1:12" ht="16" x14ac:dyDescent="0.2">
      <c r="A59" s="35" t="s">
        <v>126</v>
      </c>
      <c r="B59" s="36">
        <v>15</v>
      </c>
      <c r="C59" s="36" t="s">
        <v>372</v>
      </c>
      <c r="D59" s="35" t="s">
        <v>373</v>
      </c>
      <c r="E59" s="43">
        <v>5.99</v>
      </c>
      <c r="F59" s="41" t="str">
        <f>HYPERLINK("https://www.ebay.com/sch/i.html?_nkw=absolute+green+lantern+15+comic","eBay - Third Eye sold out")</f>
        <v>eBay - Third Eye sold out</v>
      </c>
      <c r="G59" s="37" t="s">
        <v>413</v>
      </c>
      <c r="H59" s="60" t="s">
        <v>414</v>
      </c>
      <c r="I59" s="61">
        <v>46273</v>
      </c>
      <c r="J59" s="62" t="s">
        <v>415</v>
      </c>
      <c r="K59" s="63" t="s">
        <v>416</v>
      </c>
      <c r="L59" s="72" t="s">
        <v>417</v>
      </c>
    </row>
    <row r="60" spans="1:12" ht="16" x14ac:dyDescent="0.2">
      <c r="A60" s="35" t="s">
        <v>126</v>
      </c>
      <c r="B60" s="36">
        <v>16</v>
      </c>
      <c r="C60" s="36" t="s">
        <v>372</v>
      </c>
      <c r="D60" s="35" t="s">
        <v>373</v>
      </c>
      <c r="E60" s="43">
        <v>5.99</v>
      </c>
      <c r="F60" s="41" t="str">
        <f>HYPERLINK("https://shop.thirdeyecomics.com/collections/absolute-green-lantern","Third Eye - $4.99")</f>
        <v>Third Eye - $4.99</v>
      </c>
      <c r="G60" s="37" t="s">
        <v>413</v>
      </c>
      <c r="H60" s="60" t="s">
        <v>414</v>
      </c>
      <c r="I60" s="61">
        <v>46273</v>
      </c>
      <c r="J60" s="62" t="s">
        <v>415</v>
      </c>
      <c r="K60" s="63" t="s">
        <v>416</v>
      </c>
      <c r="L60" s="72" t="s">
        <v>417</v>
      </c>
    </row>
    <row r="61" spans="1:12" ht="16" x14ac:dyDescent="0.2">
      <c r="A61" s="35" t="s">
        <v>162</v>
      </c>
      <c r="B61" s="36">
        <v>12</v>
      </c>
      <c r="C61" s="36" t="s">
        <v>374</v>
      </c>
      <c r="D61" s="35" t="s">
        <v>373</v>
      </c>
      <c r="E61" s="43">
        <v>5.99</v>
      </c>
      <c r="F61" s="41" t="str">
        <f>HYPERLINK("https://www.ebay.com/sch/i.html?_nkw=absolute+martian+manhunter+12+comic","eBay - Third Eye sold out")</f>
        <v>eBay - Third Eye sold out</v>
      </c>
      <c r="G61" s="37" t="s">
        <v>413</v>
      </c>
      <c r="H61" s="60" t="s">
        <v>414</v>
      </c>
      <c r="I61" s="61">
        <v>46273</v>
      </c>
      <c r="J61" s="62" t="s">
        <v>415</v>
      </c>
      <c r="K61" s="63" t="s">
        <v>416</v>
      </c>
      <c r="L61" s="72" t="s">
        <v>417</v>
      </c>
    </row>
    <row r="62" spans="1:12" ht="16" x14ac:dyDescent="0.2">
      <c r="A62" s="35" t="s">
        <v>20</v>
      </c>
      <c r="B62" s="36">
        <v>8</v>
      </c>
      <c r="C62" s="36" t="s">
        <v>375</v>
      </c>
      <c r="D62" s="35" t="s">
        <v>376</v>
      </c>
      <c r="E62" s="43">
        <v>4.99</v>
      </c>
      <c r="F62" s="41" t="str">
        <f>HYPERLINK("https://www.ebay.com/sch/i.html?_nkw=absolute+batman+8+comic","eBay - live search")</f>
        <v>eBay - live search</v>
      </c>
      <c r="G62" s="37" t="s">
        <v>413</v>
      </c>
      <c r="H62" s="60" t="s">
        <v>414</v>
      </c>
      <c r="I62" s="61">
        <v>46273</v>
      </c>
      <c r="J62" s="62" t="s">
        <v>415</v>
      </c>
      <c r="K62" s="63" t="s">
        <v>416</v>
      </c>
      <c r="L62" s="72" t="s">
        <v>417</v>
      </c>
    </row>
    <row r="63" spans="1:12" ht="16" x14ac:dyDescent="0.2">
      <c r="A63" s="35" t="s">
        <v>20</v>
      </c>
      <c r="B63" s="36">
        <v>10</v>
      </c>
      <c r="C63" s="36" t="s">
        <v>375</v>
      </c>
      <c r="D63" s="35" t="s">
        <v>376</v>
      </c>
      <c r="E63" s="43">
        <v>4.99</v>
      </c>
      <c r="F63" s="41" t="str">
        <f>HYPERLINK("https://www.ebay.com/sch/i.html?_nkw=absolute+batman+10+comic","eBay - live search")</f>
        <v>eBay - live search</v>
      </c>
      <c r="G63" s="37" t="s">
        <v>413</v>
      </c>
      <c r="H63" s="60" t="s">
        <v>414</v>
      </c>
      <c r="I63" s="61">
        <v>46273</v>
      </c>
      <c r="J63" s="62" t="s">
        <v>415</v>
      </c>
      <c r="K63" s="63" t="s">
        <v>416</v>
      </c>
      <c r="L63" s="72" t="s">
        <v>417</v>
      </c>
    </row>
    <row r="64" spans="1:12" ht="16" x14ac:dyDescent="0.2">
      <c r="A64" s="35" t="s">
        <v>20</v>
      </c>
      <c r="B64" s="36">
        <v>11</v>
      </c>
      <c r="C64" s="36" t="s">
        <v>375</v>
      </c>
      <c r="D64" s="35" t="s">
        <v>376</v>
      </c>
      <c r="E64" s="43">
        <v>4.99</v>
      </c>
      <c r="F64" s="41" t="str">
        <f>HYPERLINK("https://www.ebay.com/sch/i.html?_nkw=absolute+batman+11+comic","eBay - live search")</f>
        <v>eBay - live search</v>
      </c>
      <c r="G64" s="37" t="s">
        <v>413</v>
      </c>
      <c r="H64" s="60" t="s">
        <v>414</v>
      </c>
      <c r="I64" s="61">
        <v>46273</v>
      </c>
      <c r="J64" s="62" t="s">
        <v>415</v>
      </c>
      <c r="K64" s="63" t="s">
        <v>416</v>
      </c>
      <c r="L64" s="72" t="s">
        <v>417</v>
      </c>
    </row>
    <row r="65" spans="1:12" ht="16" x14ac:dyDescent="0.2">
      <c r="A65" s="35" t="s">
        <v>20</v>
      </c>
      <c r="B65" s="36">
        <v>15</v>
      </c>
      <c r="C65" s="36" t="s">
        <v>375</v>
      </c>
      <c r="D65" s="35" t="s">
        <v>376</v>
      </c>
      <c r="E65" s="43">
        <v>5.99</v>
      </c>
      <c r="F65" s="41" t="str">
        <f>HYPERLINK("https://www.ebay.com/sch/i.html?_nkw=absolute+batman+15+comic","eBay - live search")</f>
        <v>eBay - live search</v>
      </c>
      <c r="G65" s="37" t="s">
        <v>413</v>
      </c>
      <c r="H65" s="60" t="s">
        <v>414</v>
      </c>
      <c r="I65" s="61">
        <v>46273</v>
      </c>
      <c r="J65" s="62" t="s">
        <v>415</v>
      </c>
      <c r="K65" s="63" t="s">
        <v>416</v>
      </c>
      <c r="L65" s="72" t="s">
        <v>417</v>
      </c>
    </row>
    <row r="66" spans="1:12" ht="16" x14ac:dyDescent="0.2">
      <c r="A66" s="35" t="s">
        <v>94</v>
      </c>
      <c r="B66" s="36">
        <v>8</v>
      </c>
      <c r="C66" s="36" t="s">
        <v>377</v>
      </c>
      <c r="D66" s="35" t="s">
        <v>378</v>
      </c>
      <c r="E66" s="43"/>
      <c r="F66" s="41" t="s">
        <v>577</v>
      </c>
      <c r="G66" s="37"/>
      <c r="H66" s="50"/>
      <c r="I66" s="52"/>
      <c r="J66" s="48"/>
      <c r="K66" s="54"/>
      <c r="L66" s="73" t="s">
        <v>418</v>
      </c>
    </row>
    <row r="67" spans="1:12" ht="16" x14ac:dyDescent="0.2">
      <c r="A67" s="35" t="s">
        <v>94</v>
      </c>
      <c r="B67" s="36">
        <v>9</v>
      </c>
      <c r="C67" s="36" t="s">
        <v>377</v>
      </c>
      <c r="D67" s="35" t="s">
        <v>378</v>
      </c>
      <c r="E67" s="43"/>
      <c r="F67" s="41" t="s">
        <v>577</v>
      </c>
      <c r="G67" s="37"/>
      <c r="H67" s="50"/>
      <c r="I67" s="52"/>
      <c r="J67" s="48"/>
      <c r="K67" s="54"/>
      <c r="L67" s="73" t="s">
        <v>418</v>
      </c>
    </row>
    <row r="68" spans="1:12" ht="16" x14ac:dyDescent="0.2">
      <c r="A68" s="35" t="s">
        <v>94</v>
      </c>
      <c r="B68" s="36">
        <v>10</v>
      </c>
      <c r="C68" s="36" t="s">
        <v>377</v>
      </c>
      <c r="D68" s="35" t="s">
        <v>378</v>
      </c>
      <c r="E68" s="43">
        <v>5.99</v>
      </c>
      <c r="F68" s="41" t="str">
        <f>HYPERLINK("https://www.ebay.com/sch/i.html?_nkw=absolute+flash+10+comic","eBay - live search")</f>
        <v>eBay - live search</v>
      </c>
      <c r="G68" s="37" t="s">
        <v>413</v>
      </c>
      <c r="H68" s="60" t="s">
        <v>414</v>
      </c>
      <c r="I68" s="61">
        <v>46273</v>
      </c>
      <c r="J68" s="62" t="s">
        <v>415</v>
      </c>
      <c r="K68" s="63" t="s">
        <v>416</v>
      </c>
      <c r="L68" s="72" t="s">
        <v>417</v>
      </c>
    </row>
    <row r="69" spans="1:12" ht="16" x14ac:dyDescent="0.2">
      <c r="A69" s="35" t="s">
        <v>126</v>
      </c>
      <c r="B69" s="36">
        <v>3</v>
      </c>
      <c r="C69" s="36" t="s">
        <v>377</v>
      </c>
      <c r="D69" s="35" t="s">
        <v>378</v>
      </c>
      <c r="E69" s="43">
        <v>4.99</v>
      </c>
      <c r="F69" s="41" t="str">
        <f>HYPERLINK("https://www.ebay.com/sch/i.html?_nkw=absolute+green+lantern+3+comic","eBay - Third Eye sold out")</f>
        <v>eBay - Third Eye sold out</v>
      </c>
      <c r="G69" s="37" t="s">
        <v>413</v>
      </c>
      <c r="H69" s="60" t="s">
        <v>414</v>
      </c>
      <c r="I69" s="61">
        <v>46273</v>
      </c>
      <c r="J69" s="62" t="s">
        <v>415</v>
      </c>
      <c r="K69" s="63" t="s">
        <v>416</v>
      </c>
      <c r="L69" s="72" t="s">
        <v>417</v>
      </c>
    </row>
    <row r="70" spans="1:12" ht="16" x14ac:dyDescent="0.2">
      <c r="A70" s="35" t="s">
        <v>162</v>
      </c>
      <c r="B70" s="36">
        <v>7</v>
      </c>
      <c r="C70" s="36" t="s">
        <v>377</v>
      </c>
      <c r="D70" s="35" t="s">
        <v>378</v>
      </c>
      <c r="E70" s="43"/>
      <c r="F70" s="41" t="s">
        <v>578</v>
      </c>
      <c r="G70" s="37"/>
      <c r="H70" s="50"/>
      <c r="I70" s="52"/>
      <c r="J70" s="48"/>
      <c r="K70" s="54"/>
      <c r="L70" s="73" t="s">
        <v>418</v>
      </c>
    </row>
    <row r="71" spans="1:12" ht="16" x14ac:dyDescent="0.2">
      <c r="A71" s="35" t="s">
        <v>162</v>
      </c>
      <c r="B71" s="36">
        <v>8</v>
      </c>
      <c r="C71" s="36" t="s">
        <v>377</v>
      </c>
      <c r="D71" s="35" t="s">
        <v>378</v>
      </c>
      <c r="E71" s="43">
        <v>18</v>
      </c>
      <c r="F71" s="41" t="s">
        <v>613</v>
      </c>
      <c r="G71" s="37" t="s">
        <v>413</v>
      </c>
      <c r="H71" s="56">
        <v>4333644</v>
      </c>
      <c r="I71" s="57">
        <v>46274</v>
      </c>
      <c r="J71" s="58" t="s">
        <v>612</v>
      </c>
      <c r="K71" s="59" t="s">
        <v>416</v>
      </c>
      <c r="L71" s="72" t="s">
        <v>417</v>
      </c>
    </row>
    <row r="72" spans="1:12" ht="16" x14ac:dyDescent="0.2">
      <c r="A72" s="35" t="s">
        <v>162</v>
      </c>
      <c r="B72" s="36">
        <v>9</v>
      </c>
      <c r="C72" s="36" t="s">
        <v>377</v>
      </c>
      <c r="D72" s="35" t="s">
        <v>378</v>
      </c>
      <c r="E72" s="43">
        <v>9</v>
      </c>
      <c r="F72" s="41" t="s">
        <v>611</v>
      </c>
      <c r="G72" s="37" t="s">
        <v>413</v>
      </c>
      <c r="H72" s="56">
        <v>4333644</v>
      </c>
      <c r="I72" s="57">
        <v>46274</v>
      </c>
      <c r="J72" s="58" t="s">
        <v>612</v>
      </c>
      <c r="K72" s="59" t="s">
        <v>416</v>
      </c>
      <c r="L72" s="72" t="s">
        <v>417</v>
      </c>
    </row>
    <row r="73" spans="1:12" ht="16" x14ac:dyDescent="0.2">
      <c r="A73" s="38" t="s">
        <v>379</v>
      </c>
      <c r="B73" s="39">
        <v>1</v>
      </c>
      <c r="C73" s="39" t="s">
        <v>380</v>
      </c>
      <c r="D73" s="38" t="s">
        <v>378</v>
      </c>
      <c r="E73" s="44">
        <v>5.99</v>
      </c>
      <c r="F73" s="42" t="str">
        <f>HYPERLINK("https://shop.thirdeyecomics.com/collections/absolute-wonder-woman-annual-2026-1","Third Eye - $5.99")</f>
        <v>Third Eye - $5.99</v>
      </c>
      <c r="G73" s="40" t="s">
        <v>413</v>
      </c>
      <c r="H73" s="60" t="s">
        <v>414</v>
      </c>
      <c r="I73" s="61">
        <v>46273</v>
      </c>
      <c r="J73" s="62" t="s">
        <v>415</v>
      </c>
      <c r="K73" s="63" t="s">
        <v>416</v>
      </c>
      <c r="L73" s="72" t="s">
        <v>417</v>
      </c>
    </row>
    <row r="74" spans="1:12" ht="16" x14ac:dyDescent="0.2">
      <c r="A74" s="38" t="s">
        <v>381</v>
      </c>
      <c r="B74" s="39">
        <v>1</v>
      </c>
      <c r="C74" s="39" t="s">
        <v>382</v>
      </c>
      <c r="D74" s="38" t="s">
        <v>371</v>
      </c>
      <c r="E74" s="44"/>
      <c r="F74" s="42" t="s">
        <v>589</v>
      </c>
      <c r="G74" s="40"/>
      <c r="H74" s="51"/>
      <c r="I74" s="53"/>
      <c r="J74" s="49"/>
      <c r="K74" s="55"/>
      <c r="L74" s="73" t="s">
        <v>418</v>
      </c>
    </row>
    <row r="75" spans="1:12" ht="16" x14ac:dyDescent="0.2">
      <c r="A75" s="27" t="s">
        <v>383</v>
      </c>
    </row>
    <row r="76" spans="1:12" x14ac:dyDescent="0.2">
      <c r="A76" s="30" t="s">
        <v>384</v>
      </c>
      <c r="B76" s="30">
        <f>COUNTA(A33:A74)-COUNTIF(G33:G74,"Y")</f>
        <v>10</v>
      </c>
    </row>
    <row r="77" spans="1:12" x14ac:dyDescent="0.2">
      <c r="A77" s="30" t="s">
        <v>385</v>
      </c>
      <c r="B77" s="30">
        <f>COUNTIF(G33:G74,"Y")</f>
        <v>32</v>
      </c>
    </row>
    <row r="78" spans="1:12" x14ac:dyDescent="0.2">
      <c r="A78" s="30" t="s">
        <v>386</v>
      </c>
      <c r="B78" s="31">
        <f>SUM(E33:E74)</f>
        <v>203.21000000000004</v>
      </c>
    </row>
    <row r="79" spans="1:12" x14ac:dyDescent="0.2">
      <c r="A79" s="30" t="s">
        <v>387</v>
      </c>
      <c r="B79" s="31">
        <f>IFERROR(AVERAGE(E33:E74),0)</f>
        <v>6.3503125000000011</v>
      </c>
    </row>
    <row r="80" spans="1:12" x14ac:dyDescent="0.2">
      <c r="A80" s="30" t="s">
        <v>388</v>
      </c>
      <c r="B80" s="31">
        <f>B76*7</f>
        <v>70</v>
      </c>
    </row>
    <row r="81" spans="1:2" x14ac:dyDescent="0.2">
      <c r="A81" s="30" t="s">
        <v>389</v>
      </c>
      <c r="B81" s="31">
        <f>B78+B80</f>
        <v>273.21000000000004</v>
      </c>
    </row>
    <row r="83" spans="1:2" ht="16" x14ac:dyDescent="0.2">
      <c r="A83" s="27" t="s">
        <v>390</v>
      </c>
    </row>
    <row r="84" spans="1:2" x14ac:dyDescent="0.2">
      <c r="A84" t="s">
        <v>391</v>
      </c>
      <c r="B84" s="24">
        <v>5.99</v>
      </c>
    </row>
    <row r="85" spans="1:2" x14ac:dyDescent="0.2">
      <c r="A85" t="s">
        <v>392</v>
      </c>
      <c r="B85" s="24">
        <v>2.5</v>
      </c>
    </row>
    <row r="86" spans="1:2" x14ac:dyDescent="0.2">
      <c r="A86" t="s">
        <v>393</v>
      </c>
      <c r="B86" t="s">
        <v>394</v>
      </c>
    </row>
    <row r="87" spans="1:2" x14ac:dyDescent="0.2">
      <c r="A87" t="s">
        <v>395</v>
      </c>
      <c r="B87" s="29">
        <f>41*5.99</f>
        <v>245.59</v>
      </c>
    </row>
    <row r="88" spans="1:2" x14ac:dyDescent="0.2">
      <c r="A88" t="s">
        <v>396</v>
      </c>
      <c r="B88" s="29">
        <f>41*2.5</f>
        <v>102.5</v>
      </c>
    </row>
    <row r="90" spans="1:2" ht="16" x14ac:dyDescent="0.2">
      <c r="A90" s="27" t="s">
        <v>397</v>
      </c>
    </row>
    <row r="91" spans="1:2" x14ac:dyDescent="0.2">
      <c r="A91" s="4" t="s">
        <v>398</v>
      </c>
    </row>
    <row r="92" spans="1:2" x14ac:dyDescent="0.2">
      <c r="A92" s="4" t="s">
        <v>399</v>
      </c>
    </row>
    <row r="93" spans="1:2" x14ac:dyDescent="0.2">
      <c r="A93" s="4" t="s">
        <v>400</v>
      </c>
    </row>
    <row r="94" spans="1:2" x14ac:dyDescent="0.2">
      <c r="A94" s="4" t="s">
        <v>401</v>
      </c>
    </row>
    <row r="95" spans="1:2" x14ac:dyDescent="0.2">
      <c r="A95" s="4" t="s">
        <v>580</v>
      </c>
    </row>
    <row r="96" spans="1:2" x14ac:dyDescent="0.2">
      <c r="A96" s="4" t="s">
        <v>402</v>
      </c>
    </row>
    <row r="97" spans="1:6" x14ac:dyDescent="0.2">
      <c r="A97" s="4" t="s">
        <v>581</v>
      </c>
    </row>
    <row r="98" spans="1:6" ht="16" x14ac:dyDescent="0.2">
      <c r="A98" s="27" t="s">
        <v>403</v>
      </c>
    </row>
    <row r="99" spans="1:6" x14ac:dyDescent="0.2">
      <c r="A99" s="5" t="s">
        <v>404</v>
      </c>
    </row>
    <row r="100" spans="1:6" x14ac:dyDescent="0.2">
      <c r="A100" s="5" t="s">
        <v>582</v>
      </c>
    </row>
    <row r="101" spans="1:6" x14ac:dyDescent="0.2">
      <c r="A101" s="5" t="s">
        <v>583</v>
      </c>
    </row>
    <row r="102" spans="1:6" x14ac:dyDescent="0.2">
      <c r="A102" s="5" t="s">
        <v>584</v>
      </c>
    </row>
    <row r="103" spans="1:6" x14ac:dyDescent="0.2">
      <c r="A103" s="5" t="s">
        <v>585</v>
      </c>
    </row>
    <row r="105" spans="1:6" ht="16" x14ac:dyDescent="0.2">
      <c r="A105" s="196" t="s">
        <v>562</v>
      </c>
    </row>
    <row r="106" spans="1:6" x14ac:dyDescent="0.2">
      <c r="A106" s="197" t="s">
        <v>563</v>
      </c>
    </row>
    <row r="107" spans="1:6" x14ac:dyDescent="0.2">
      <c r="A107" s="188" t="s">
        <v>609</v>
      </c>
    </row>
    <row r="108" spans="1:6" x14ac:dyDescent="0.2">
      <c r="A108" t="s">
        <v>610</v>
      </c>
    </row>
    <row r="109" spans="1:6" x14ac:dyDescent="0.2">
      <c r="A109" s="79" t="s">
        <v>0</v>
      </c>
      <c r="B109" s="79" t="s">
        <v>1</v>
      </c>
      <c r="C109" s="79" t="s">
        <v>564</v>
      </c>
      <c r="D109" s="79" t="s">
        <v>565</v>
      </c>
      <c r="E109" s="79" t="s">
        <v>566</v>
      </c>
      <c r="F109" s="79" t="s">
        <v>484</v>
      </c>
    </row>
    <row r="110" spans="1:6" x14ac:dyDescent="0.2">
      <c r="A110" s="189" t="s">
        <v>121</v>
      </c>
      <c r="B110" s="189">
        <v>3</v>
      </c>
      <c r="C110" s="190" t="s">
        <v>590</v>
      </c>
      <c r="D110" s="189" t="s">
        <v>591</v>
      </c>
      <c r="E110" s="191">
        <v>4.99</v>
      </c>
      <c r="F110" s="192" t="s">
        <v>592</v>
      </c>
    </row>
    <row r="111" spans="1:6" x14ac:dyDescent="0.2">
      <c r="A111" s="107" t="s">
        <v>126</v>
      </c>
      <c r="B111" s="107">
        <v>13</v>
      </c>
      <c r="C111" s="120" t="s">
        <v>593</v>
      </c>
      <c r="D111" s="107" t="s">
        <v>594</v>
      </c>
      <c r="E111" s="193">
        <v>4.99</v>
      </c>
      <c r="F111" s="194" t="s">
        <v>592</v>
      </c>
    </row>
    <row r="112" spans="1:6" x14ac:dyDescent="0.2">
      <c r="A112" s="107" t="s">
        <v>567</v>
      </c>
      <c r="B112" s="107">
        <v>1</v>
      </c>
      <c r="C112" s="120" t="s">
        <v>568</v>
      </c>
      <c r="D112" s="107" t="s">
        <v>569</v>
      </c>
      <c r="E112" s="193">
        <v>4.99</v>
      </c>
      <c r="F112" s="194" t="s">
        <v>595</v>
      </c>
    </row>
    <row r="113" spans="1:6" x14ac:dyDescent="0.2">
      <c r="A113" s="107" t="s">
        <v>242</v>
      </c>
      <c r="B113" s="107">
        <v>20</v>
      </c>
      <c r="C113" s="120" t="s">
        <v>596</v>
      </c>
      <c r="D113" s="107" t="s">
        <v>597</v>
      </c>
      <c r="E113" s="194" t="s">
        <v>371</v>
      </c>
      <c r="F113" s="194" t="s">
        <v>614</v>
      </c>
    </row>
    <row r="114" spans="1:6" x14ac:dyDescent="0.2">
      <c r="A114" s="107" t="s">
        <v>242</v>
      </c>
      <c r="B114" s="107">
        <v>21</v>
      </c>
      <c r="C114" s="120" t="s">
        <v>596</v>
      </c>
      <c r="D114" s="107" t="s">
        <v>599</v>
      </c>
      <c r="E114" s="194" t="s">
        <v>371</v>
      </c>
      <c r="F114" s="194" t="s">
        <v>598</v>
      </c>
    </row>
    <row r="115" spans="1:6" x14ac:dyDescent="0.2">
      <c r="A115" s="107" t="s">
        <v>242</v>
      </c>
      <c r="B115" s="107">
        <v>11</v>
      </c>
      <c r="C115" s="120" t="s">
        <v>600</v>
      </c>
      <c r="D115" s="107" t="s">
        <v>601</v>
      </c>
      <c r="E115" s="194">
        <v>4.99</v>
      </c>
      <c r="F115" s="194" t="s">
        <v>602</v>
      </c>
    </row>
    <row r="116" spans="1:6" x14ac:dyDescent="0.2">
      <c r="A116" s="107" t="s">
        <v>242</v>
      </c>
      <c r="B116" s="107">
        <v>14</v>
      </c>
      <c r="C116" s="120" t="s">
        <v>571</v>
      </c>
      <c r="D116" s="107" t="s">
        <v>603</v>
      </c>
      <c r="E116" s="194" t="s">
        <v>371</v>
      </c>
      <c r="F116" s="194" t="s">
        <v>604</v>
      </c>
    </row>
    <row r="117" spans="1:6" x14ac:dyDescent="0.2">
      <c r="A117" s="107" t="s">
        <v>173</v>
      </c>
      <c r="B117" s="107">
        <v>15</v>
      </c>
      <c r="C117" s="120" t="s">
        <v>571</v>
      </c>
      <c r="D117" s="107" t="s">
        <v>605</v>
      </c>
      <c r="E117" s="194" t="s">
        <v>371</v>
      </c>
      <c r="F117" s="194" t="s">
        <v>604</v>
      </c>
    </row>
    <row r="118" spans="1:6" x14ac:dyDescent="0.2">
      <c r="A118" s="107" t="s">
        <v>94</v>
      </c>
      <c r="B118" s="107">
        <v>8</v>
      </c>
      <c r="C118" s="120" t="s">
        <v>572</v>
      </c>
      <c r="D118" s="107" t="s">
        <v>606</v>
      </c>
      <c r="E118" s="194" t="s">
        <v>371</v>
      </c>
      <c r="F118" s="194" t="s">
        <v>604</v>
      </c>
    </row>
    <row r="119" spans="1:6" x14ac:dyDescent="0.2">
      <c r="A119" s="107" t="s">
        <v>94</v>
      </c>
      <c r="B119" s="107">
        <v>9</v>
      </c>
      <c r="C119" s="120" t="s">
        <v>572</v>
      </c>
      <c r="D119" s="107" t="s">
        <v>607</v>
      </c>
      <c r="E119" s="194" t="s">
        <v>371</v>
      </c>
      <c r="F119" s="194" t="s">
        <v>604</v>
      </c>
    </row>
    <row r="120" spans="1:6" x14ac:dyDescent="0.2">
      <c r="A120" s="107" t="s">
        <v>162</v>
      </c>
      <c r="B120" s="107">
        <v>7</v>
      </c>
      <c r="C120" s="120" t="s">
        <v>573</v>
      </c>
      <c r="D120" s="107" t="s">
        <v>574</v>
      </c>
      <c r="E120" s="194" t="s">
        <v>570</v>
      </c>
      <c r="F120" s="194" t="s">
        <v>608</v>
      </c>
    </row>
    <row r="121" spans="1:6" x14ac:dyDescent="0.2">
      <c r="A121" s="107" t="s">
        <v>162</v>
      </c>
      <c r="B121" s="107">
        <v>8</v>
      </c>
      <c r="C121" s="120" t="s">
        <v>573</v>
      </c>
      <c r="D121" s="107" t="s">
        <v>575</v>
      </c>
      <c r="E121" s="194" t="s">
        <v>570</v>
      </c>
      <c r="F121" s="194" t="s">
        <v>615</v>
      </c>
    </row>
    <row r="122" spans="1:6" x14ac:dyDescent="0.2">
      <c r="A122" s="118" t="s">
        <v>162</v>
      </c>
      <c r="B122" s="118">
        <v>9</v>
      </c>
      <c r="C122" s="92" t="s">
        <v>573</v>
      </c>
      <c r="D122" s="118" t="s">
        <v>576</v>
      </c>
      <c r="E122" s="195" t="s">
        <v>570</v>
      </c>
      <c r="F122" s="195" t="s">
        <v>616</v>
      </c>
    </row>
  </sheetData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1"/>
  <sheetViews>
    <sheetView workbookViewId="0"/>
  </sheetViews>
  <sheetFormatPr baseColWidth="10" defaultColWidth="8.83203125" defaultRowHeight="15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 s="1">
        <v>45574</v>
      </c>
      <c r="F2" t="s">
        <v>24</v>
      </c>
      <c r="G2" s="1">
        <v>46273</v>
      </c>
      <c r="H2" t="s">
        <v>25</v>
      </c>
      <c r="I2">
        <v>7.6194138584600096E+16</v>
      </c>
      <c r="J2" t="s">
        <v>26</v>
      </c>
      <c r="K2">
        <v>1078186</v>
      </c>
      <c r="L2">
        <v>157737</v>
      </c>
      <c r="N2" t="s">
        <v>27</v>
      </c>
      <c r="O2" t="s">
        <v>26</v>
      </c>
      <c r="Q2">
        <v>2024</v>
      </c>
      <c r="R2">
        <v>1</v>
      </c>
      <c r="S2" s="2">
        <v>45627</v>
      </c>
      <c r="T2">
        <v>2024</v>
      </c>
    </row>
    <row r="3" spans="1:20" x14ac:dyDescent="0.2">
      <c r="A3" t="s">
        <v>20</v>
      </c>
      <c r="B3" t="s">
        <v>28</v>
      </c>
      <c r="C3" t="s">
        <v>29</v>
      </c>
      <c r="D3" t="s">
        <v>23</v>
      </c>
      <c r="E3" s="1">
        <v>45609</v>
      </c>
      <c r="F3" t="s">
        <v>24</v>
      </c>
      <c r="G3" s="1">
        <v>46273</v>
      </c>
      <c r="H3" t="s">
        <v>30</v>
      </c>
      <c r="I3">
        <v>7.6194138584600192E+16</v>
      </c>
      <c r="J3" t="s">
        <v>26</v>
      </c>
      <c r="K3">
        <v>1097206</v>
      </c>
      <c r="L3">
        <v>157737</v>
      </c>
      <c r="N3" t="s">
        <v>31</v>
      </c>
      <c r="O3" t="s">
        <v>26</v>
      </c>
      <c r="Q3">
        <v>2024</v>
      </c>
      <c r="R3">
        <v>2</v>
      </c>
      <c r="S3" s="2">
        <v>45658</v>
      </c>
      <c r="T3">
        <v>2025</v>
      </c>
    </row>
    <row r="4" spans="1:20" x14ac:dyDescent="0.2">
      <c r="A4" t="s">
        <v>20</v>
      </c>
      <c r="B4" t="s">
        <v>32</v>
      </c>
      <c r="C4" t="s">
        <v>33</v>
      </c>
      <c r="D4" t="s">
        <v>23</v>
      </c>
      <c r="E4" s="1">
        <v>45644</v>
      </c>
      <c r="F4" t="s">
        <v>24</v>
      </c>
      <c r="G4" s="1">
        <v>46273</v>
      </c>
      <c r="H4" t="s">
        <v>34</v>
      </c>
      <c r="I4">
        <v>7.6194138584600304E+16</v>
      </c>
      <c r="J4" t="s">
        <v>26</v>
      </c>
      <c r="K4">
        <v>1094435</v>
      </c>
      <c r="L4">
        <v>157737</v>
      </c>
      <c r="N4" t="s">
        <v>35</v>
      </c>
      <c r="O4" t="s">
        <v>26</v>
      </c>
      <c r="Q4">
        <v>2024</v>
      </c>
      <c r="R4">
        <v>3</v>
      </c>
      <c r="S4" s="2">
        <v>45689</v>
      </c>
      <c r="T4">
        <v>2025</v>
      </c>
    </row>
    <row r="5" spans="1:20" x14ac:dyDescent="0.2">
      <c r="A5" t="s">
        <v>20</v>
      </c>
      <c r="B5" t="s">
        <v>36</v>
      </c>
      <c r="C5" t="s">
        <v>22</v>
      </c>
      <c r="D5" t="s">
        <v>23</v>
      </c>
      <c r="E5" s="1">
        <v>45665</v>
      </c>
      <c r="F5" t="s">
        <v>24</v>
      </c>
      <c r="G5" s="1">
        <v>46273</v>
      </c>
      <c r="H5" t="s">
        <v>25</v>
      </c>
      <c r="I5">
        <v>7.61941385846004E+16</v>
      </c>
      <c r="J5" t="s">
        <v>26</v>
      </c>
      <c r="K5">
        <v>1100181</v>
      </c>
      <c r="L5">
        <v>157737</v>
      </c>
      <c r="N5" t="s">
        <v>37</v>
      </c>
      <c r="O5" t="s">
        <v>26</v>
      </c>
      <c r="Q5">
        <v>2025</v>
      </c>
      <c r="R5">
        <v>4</v>
      </c>
      <c r="S5" s="2">
        <v>45717</v>
      </c>
      <c r="T5">
        <v>2025</v>
      </c>
    </row>
    <row r="6" spans="1:20" x14ac:dyDescent="0.2">
      <c r="A6" t="s">
        <v>20</v>
      </c>
      <c r="B6" t="s">
        <v>38</v>
      </c>
      <c r="C6" t="s">
        <v>22</v>
      </c>
      <c r="D6" t="s">
        <v>23</v>
      </c>
      <c r="E6" s="1">
        <v>45700</v>
      </c>
      <c r="F6" t="s">
        <v>24</v>
      </c>
      <c r="G6" s="1">
        <v>46273</v>
      </c>
      <c r="H6" t="s">
        <v>25</v>
      </c>
      <c r="I6">
        <v>7.6194138584600496E+16</v>
      </c>
      <c r="K6">
        <v>1107506</v>
      </c>
      <c r="L6">
        <v>157737</v>
      </c>
      <c r="Q6">
        <v>2025</v>
      </c>
      <c r="R6">
        <v>5</v>
      </c>
      <c r="S6" s="2">
        <v>45748</v>
      </c>
      <c r="T6">
        <v>2025</v>
      </c>
    </row>
    <row r="7" spans="1:20" x14ac:dyDescent="0.2">
      <c r="A7" t="s">
        <v>20</v>
      </c>
      <c r="B7" t="s">
        <v>39</v>
      </c>
      <c r="C7" t="s">
        <v>40</v>
      </c>
      <c r="D7" t="s">
        <v>23</v>
      </c>
      <c r="E7" s="1">
        <v>45735</v>
      </c>
      <c r="F7" t="s">
        <v>24</v>
      </c>
      <c r="G7" s="1">
        <v>46273</v>
      </c>
      <c r="H7" t="s">
        <v>34</v>
      </c>
      <c r="I7">
        <v>7.6194138584600608E+16</v>
      </c>
      <c r="J7" t="s">
        <v>26</v>
      </c>
      <c r="K7">
        <v>1112337</v>
      </c>
      <c r="L7">
        <v>157737</v>
      </c>
      <c r="N7" t="s">
        <v>41</v>
      </c>
      <c r="O7" t="s">
        <v>26</v>
      </c>
      <c r="Q7">
        <v>2025</v>
      </c>
      <c r="R7">
        <v>6</v>
      </c>
      <c r="S7" s="2">
        <v>45778</v>
      </c>
      <c r="T7">
        <v>2025</v>
      </c>
    </row>
    <row r="8" spans="1:20" x14ac:dyDescent="0.2">
      <c r="A8" t="s">
        <v>20</v>
      </c>
      <c r="B8" t="s">
        <v>42</v>
      </c>
      <c r="C8" t="s">
        <v>43</v>
      </c>
      <c r="D8" t="s">
        <v>23</v>
      </c>
      <c r="E8" s="1">
        <v>45756</v>
      </c>
      <c r="F8" t="s">
        <v>24</v>
      </c>
      <c r="G8" s="1">
        <v>46273</v>
      </c>
      <c r="H8" t="s">
        <v>44</v>
      </c>
      <c r="I8">
        <v>7.6194138584600704E+16</v>
      </c>
      <c r="J8" t="s">
        <v>45</v>
      </c>
      <c r="K8">
        <v>1123848</v>
      </c>
      <c r="L8">
        <v>157737</v>
      </c>
      <c r="M8" t="s">
        <v>46</v>
      </c>
      <c r="O8" t="s">
        <v>46</v>
      </c>
      <c r="Q8">
        <v>2025</v>
      </c>
      <c r="R8">
        <v>7</v>
      </c>
      <c r="S8" s="2">
        <v>45809</v>
      </c>
      <c r="T8">
        <v>2025</v>
      </c>
    </row>
    <row r="9" spans="1:20" x14ac:dyDescent="0.2">
      <c r="A9" t="s">
        <v>20</v>
      </c>
      <c r="B9" t="s">
        <v>47</v>
      </c>
      <c r="C9" t="s">
        <v>22</v>
      </c>
      <c r="D9" t="s">
        <v>23</v>
      </c>
      <c r="E9" s="1">
        <v>45819</v>
      </c>
      <c r="F9" t="s">
        <v>24</v>
      </c>
      <c r="G9" s="1">
        <v>46273</v>
      </c>
      <c r="H9" t="s">
        <v>25</v>
      </c>
      <c r="I9">
        <v>7.6194138584600896E+16</v>
      </c>
      <c r="J9" t="s">
        <v>48</v>
      </c>
      <c r="K9">
        <v>1136297</v>
      </c>
      <c r="L9">
        <v>157737</v>
      </c>
      <c r="N9" t="s">
        <v>27</v>
      </c>
      <c r="O9" t="s">
        <v>48</v>
      </c>
      <c r="Q9">
        <v>2025</v>
      </c>
      <c r="R9">
        <v>9</v>
      </c>
      <c r="S9" s="2">
        <v>45870</v>
      </c>
      <c r="T9">
        <v>2025</v>
      </c>
    </row>
    <row r="10" spans="1:20" x14ac:dyDescent="0.2">
      <c r="A10" t="s">
        <v>20</v>
      </c>
      <c r="B10" t="s">
        <v>49</v>
      </c>
      <c r="C10" t="s">
        <v>50</v>
      </c>
      <c r="D10" t="s">
        <v>23</v>
      </c>
      <c r="E10" s="1">
        <v>45819</v>
      </c>
      <c r="F10" t="s">
        <v>24</v>
      </c>
      <c r="G10" s="1">
        <v>46273</v>
      </c>
      <c r="H10" t="s">
        <v>51</v>
      </c>
      <c r="I10">
        <v>7.6194138584600896E+16</v>
      </c>
      <c r="J10" t="s">
        <v>48</v>
      </c>
      <c r="K10">
        <v>1146028</v>
      </c>
      <c r="L10">
        <v>157737</v>
      </c>
      <c r="N10" t="s">
        <v>27</v>
      </c>
      <c r="O10" t="s">
        <v>48</v>
      </c>
      <c r="Q10">
        <v>2025</v>
      </c>
      <c r="R10">
        <v>9</v>
      </c>
      <c r="S10" s="2">
        <v>45870</v>
      </c>
      <c r="T10">
        <v>2025</v>
      </c>
    </row>
    <row r="11" spans="1:20" x14ac:dyDescent="0.2">
      <c r="A11" t="s">
        <v>20</v>
      </c>
      <c r="B11" t="s">
        <v>52</v>
      </c>
      <c r="C11" t="s">
        <v>53</v>
      </c>
      <c r="D11" t="s">
        <v>23</v>
      </c>
      <c r="E11" s="1">
        <v>45910</v>
      </c>
      <c r="F11" t="s">
        <v>24</v>
      </c>
      <c r="G11" s="1">
        <v>46273</v>
      </c>
      <c r="H11" t="s">
        <v>44</v>
      </c>
      <c r="I11">
        <v>7.61941385846012E+16</v>
      </c>
      <c r="J11" t="s">
        <v>48</v>
      </c>
      <c r="K11">
        <v>1152349</v>
      </c>
      <c r="L11">
        <v>157737</v>
      </c>
      <c r="N11" t="s">
        <v>37</v>
      </c>
      <c r="O11" t="s">
        <v>48</v>
      </c>
      <c r="Q11">
        <v>2025</v>
      </c>
      <c r="R11">
        <v>12</v>
      </c>
      <c r="S11" s="2">
        <v>45962</v>
      </c>
      <c r="T11">
        <v>2025</v>
      </c>
    </row>
    <row r="12" spans="1:20" x14ac:dyDescent="0.2">
      <c r="A12" t="s">
        <v>20</v>
      </c>
      <c r="B12" t="s">
        <v>54</v>
      </c>
      <c r="C12" t="s">
        <v>22</v>
      </c>
      <c r="D12" t="s">
        <v>23</v>
      </c>
      <c r="E12" s="1">
        <v>45938</v>
      </c>
      <c r="F12" t="s">
        <v>24</v>
      </c>
      <c r="G12" s="1">
        <v>46273</v>
      </c>
      <c r="H12" t="s">
        <v>25</v>
      </c>
      <c r="I12">
        <v>7.6194138584601296E+16</v>
      </c>
      <c r="J12" t="s">
        <v>48</v>
      </c>
      <c r="K12">
        <v>1157949</v>
      </c>
      <c r="L12">
        <v>157737</v>
      </c>
      <c r="N12" t="s">
        <v>55</v>
      </c>
      <c r="O12" t="s">
        <v>48</v>
      </c>
      <c r="Q12">
        <v>2025</v>
      </c>
      <c r="R12">
        <v>13</v>
      </c>
      <c r="S12" s="2">
        <v>45992</v>
      </c>
      <c r="T12">
        <v>2025</v>
      </c>
    </row>
    <row r="13" spans="1:20" x14ac:dyDescent="0.2">
      <c r="A13" t="s">
        <v>20</v>
      </c>
      <c r="B13" t="s">
        <v>56</v>
      </c>
      <c r="C13" t="s">
        <v>57</v>
      </c>
      <c r="D13" t="s">
        <v>23</v>
      </c>
      <c r="E13" s="1">
        <v>46064</v>
      </c>
      <c r="F13" t="s">
        <v>24</v>
      </c>
      <c r="G13" s="1">
        <v>46273</v>
      </c>
      <c r="H13" t="s">
        <v>58</v>
      </c>
      <c r="I13">
        <v>7.6194138584601408E+16</v>
      </c>
      <c r="J13" t="s">
        <v>48</v>
      </c>
      <c r="K13">
        <v>1188870</v>
      </c>
      <c r="L13">
        <v>157737</v>
      </c>
      <c r="N13" t="s">
        <v>59</v>
      </c>
      <c r="O13" t="s">
        <v>48</v>
      </c>
      <c r="Q13">
        <v>2026</v>
      </c>
      <c r="R13">
        <v>14</v>
      </c>
      <c r="S13" s="2">
        <v>46113</v>
      </c>
      <c r="T13">
        <v>2026</v>
      </c>
    </row>
    <row r="14" spans="1:20" x14ac:dyDescent="0.2">
      <c r="A14" t="s">
        <v>20</v>
      </c>
      <c r="B14" t="s">
        <v>60</v>
      </c>
      <c r="C14" t="s">
        <v>61</v>
      </c>
      <c r="D14" t="s">
        <v>23</v>
      </c>
      <c r="E14" s="1">
        <v>46099</v>
      </c>
      <c r="F14" t="s">
        <v>24</v>
      </c>
      <c r="G14" s="1">
        <v>46273</v>
      </c>
      <c r="H14" t="s">
        <v>62</v>
      </c>
      <c r="I14">
        <v>7.61941385846016E+16</v>
      </c>
      <c r="J14" t="s">
        <v>63</v>
      </c>
      <c r="K14">
        <v>1199618</v>
      </c>
      <c r="L14">
        <v>157737</v>
      </c>
      <c r="M14" t="s">
        <v>63</v>
      </c>
      <c r="Q14">
        <v>2026</v>
      </c>
      <c r="R14">
        <v>16</v>
      </c>
      <c r="S14" s="2">
        <v>46143</v>
      </c>
      <c r="T14">
        <v>2026</v>
      </c>
    </row>
    <row r="15" spans="1:20" x14ac:dyDescent="0.2">
      <c r="A15" t="s">
        <v>20</v>
      </c>
      <c r="B15" t="s">
        <v>64</v>
      </c>
      <c r="C15" t="s">
        <v>65</v>
      </c>
      <c r="D15" t="s">
        <v>23</v>
      </c>
      <c r="E15" s="1">
        <v>46071</v>
      </c>
      <c r="F15" t="s">
        <v>24</v>
      </c>
      <c r="G15" s="1">
        <v>46273</v>
      </c>
      <c r="H15" t="s">
        <v>44</v>
      </c>
      <c r="I15">
        <v>7.6194138584601696E+16</v>
      </c>
      <c r="J15" t="s">
        <v>66</v>
      </c>
      <c r="K15">
        <v>1183030</v>
      </c>
      <c r="L15">
        <v>157737</v>
      </c>
      <c r="N15" t="s">
        <v>27</v>
      </c>
      <c r="O15" t="s">
        <v>66</v>
      </c>
      <c r="Q15">
        <v>2026</v>
      </c>
      <c r="R15">
        <v>17</v>
      </c>
      <c r="S15" s="2">
        <v>46113</v>
      </c>
      <c r="T15">
        <v>2026</v>
      </c>
    </row>
    <row r="16" spans="1:20" x14ac:dyDescent="0.2">
      <c r="A16" t="s">
        <v>20</v>
      </c>
      <c r="B16" t="s">
        <v>67</v>
      </c>
      <c r="C16" t="s">
        <v>22</v>
      </c>
      <c r="D16" t="s">
        <v>23</v>
      </c>
      <c r="E16" s="1">
        <v>46092</v>
      </c>
      <c r="F16" t="s">
        <v>24</v>
      </c>
      <c r="G16" s="1">
        <v>46273</v>
      </c>
      <c r="H16" t="s">
        <v>25</v>
      </c>
      <c r="I16">
        <v>7.6194138584601792E+16</v>
      </c>
      <c r="J16" t="s">
        <v>66</v>
      </c>
      <c r="K16">
        <v>1188372</v>
      </c>
      <c r="L16">
        <v>157737</v>
      </c>
      <c r="N16" t="s">
        <v>31</v>
      </c>
      <c r="O16" t="s">
        <v>66</v>
      </c>
      <c r="Q16">
        <v>2026</v>
      </c>
      <c r="R16">
        <v>18</v>
      </c>
      <c r="S16" s="2">
        <v>46143</v>
      </c>
      <c r="T16">
        <v>2026</v>
      </c>
    </row>
    <row r="17" spans="1:20" x14ac:dyDescent="0.2">
      <c r="A17" t="s">
        <v>68</v>
      </c>
      <c r="B17" t="s">
        <v>69</v>
      </c>
      <c r="C17" t="s">
        <v>70</v>
      </c>
      <c r="D17" t="s">
        <v>23</v>
      </c>
      <c r="E17" s="1">
        <v>46127</v>
      </c>
      <c r="F17" t="s">
        <v>24</v>
      </c>
      <c r="G17" s="1">
        <v>46273</v>
      </c>
      <c r="H17" t="s">
        <v>58</v>
      </c>
      <c r="I17">
        <v>7.6194139348300096E+16</v>
      </c>
      <c r="J17" t="s">
        <v>71</v>
      </c>
      <c r="K17">
        <v>1202437</v>
      </c>
      <c r="L17">
        <v>168244</v>
      </c>
      <c r="M17" t="s">
        <v>71</v>
      </c>
      <c r="Q17">
        <v>2026</v>
      </c>
      <c r="R17">
        <v>1</v>
      </c>
      <c r="S17" s="2">
        <v>46174</v>
      </c>
      <c r="T17">
        <v>2026</v>
      </c>
    </row>
    <row r="18" spans="1:20" x14ac:dyDescent="0.2">
      <c r="A18" t="s">
        <v>72</v>
      </c>
      <c r="B18" t="s">
        <v>73</v>
      </c>
      <c r="C18" t="s">
        <v>74</v>
      </c>
      <c r="D18" t="s">
        <v>23</v>
      </c>
      <c r="E18" s="1">
        <v>46099</v>
      </c>
      <c r="F18" t="s">
        <v>24</v>
      </c>
      <c r="G18" s="1">
        <v>46273</v>
      </c>
      <c r="H18" t="s">
        <v>51</v>
      </c>
      <c r="I18">
        <v>7.6194139648400096E+16</v>
      </c>
      <c r="J18" t="s">
        <v>75</v>
      </c>
      <c r="K18">
        <v>1199589</v>
      </c>
      <c r="L18">
        <v>169724</v>
      </c>
      <c r="M18" t="s">
        <v>75</v>
      </c>
      <c r="Q18">
        <v>2026</v>
      </c>
      <c r="R18">
        <v>1</v>
      </c>
      <c r="S18" s="2">
        <v>46143</v>
      </c>
      <c r="T18">
        <v>2026</v>
      </c>
    </row>
    <row r="19" spans="1:20" x14ac:dyDescent="0.2">
      <c r="A19" t="s">
        <v>76</v>
      </c>
      <c r="B19" t="s">
        <v>77</v>
      </c>
      <c r="C19" t="s">
        <v>78</v>
      </c>
      <c r="D19" t="s">
        <v>23</v>
      </c>
      <c r="E19" s="1">
        <v>46183</v>
      </c>
      <c r="F19" t="s">
        <v>24</v>
      </c>
      <c r="G19" s="1">
        <v>46273</v>
      </c>
      <c r="H19" t="s">
        <v>44</v>
      </c>
      <c r="I19">
        <v>7.6194139423700096E+16</v>
      </c>
      <c r="J19" t="s">
        <v>79</v>
      </c>
      <c r="K19">
        <v>1202227</v>
      </c>
      <c r="L19">
        <v>173994</v>
      </c>
      <c r="M19" t="s">
        <v>80</v>
      </c>
      <c r="N19" t="s">
        <v>27</v>
      </c>
      <c r="O19" t="s">
        <v>81</v>
      </c>
      <c r="Q19">
        <v>2026</v>
      </c>
      <c r="R19">
        <v>1</v>
      </c>
      <c r="S19" s="2">
        <v>46235</v>
      </c>
      <c r="T19">
        <v>2026</v>
      </c>
    </row>
    <row r="20" spans="1:20" x14ac:dyDescent="0.2">
      <c r="A20" t="s">
        <v>76</v>
      </c>
      <c r="B20" t="s">
        <v>82</v>
      </c>
      <c r="C20" t="s">
        <v>83</v>
      </c>
      <c r="D20" t="s">
        <v>23</v>
      </c>
      <c r="E20" s="1">
        <v>46211</v>
      </c>
      <c r="F20" t="s">
        <v>24</v>
      </c>
      <c r="G20" s="1">
        <v>46273</v>
      </c>
      <c r="H20" t="s">
        <v>44</v>
      </c>
      <c r="I20">
        <v>7.6194139423700192E+16</v>
      </c>
      <c r="J20" t="s">
        <v>84</v>
      </c>
      <c r="K20">
        <v>1215087</v>
      </c>
      <c r="L20">
        <v>173994</v>
      </c>
      <c r="M20" t="s">
        <v>85</v>
      </c>
      <c r="N20" t="s">
        <v>86</v>
      </c>
      <c r="O20" t="s">
        <v>81</v>
      </c>
      <c r="Q20">
        <v>2026</v>
      </c>
      <c r="R20">
        <v>2</v>
      </c>
      <c r="S20" s="2">
        <v>46266</v>
      </c>
      <c r="T20">
        <v>2026</v>
      </c>
    </row>
    <row r="21" spans="1:20" x14ac:dyDescent="0.2">
      <c r="A21" t="s">
        <v>76</v>
      </c>
      <c r="B21" t="s">
        <v>87</v>
      </c>
      <c r="C21" t="s">
        <v>88</v>
      </c>
      <c r="D21" t="s">
        <v>23</v>
      </c>
      <c r="E21" s="1">
        <v>46260</v>
      </c>
      <c r="F21" t="s">
        <v>24</v>
      </c>
      <c r="G21" s="1">
        <v>46273</v>
      </c>
      <c r="H21" t="s">
        <v>25</v>
      </c>
      <c r="I21">
        <v>7.6194139423700304E+16</v>
      </c>
      <c r="J21" t="s">
        <v>89</v>
      </c>
      <c r="K21">
        <v>1223030</v>
      </c>
      <c r="L21">
        <v>173994</v>
      </c>
      <c r="M21" t="s">
        <v>90</v>
      </c>
      <c r="O21" t="s">
        <v>81</v>
      </c>
      <c r="Q21">
        <v>2026</v>
      </c>
      <c r="R21">
        <v>3</v>
      </c>
      <c r="S21" s="2">
        <v>46296</v>
      </c>
      <c r="T21">
        <v>2026</v>
      </c>
    </row>
    <row r="22" spans="1:20" x14ac:dyDescent="0.2">
      <c r="A22" t="s">
        <v>91</v>
      </c>
      <c r="B22" t="s">
        <v>21</v>
      </c>
      <c r="C22" t="s">
        <v>92</v>
      </c>
      <c r="D22" t="s">
        <v>23</v>
      </c>
      <c r="E22" s="1">
        <v>45931</v>
      </c>
      <c r="F22" t="s">
        <v>24</v>
      </c>
      <c r="G22" s="1">
        <v>46273</v>
      </c>
      <c r="H22" t="s">
        <v>25</v>
      </c>
      <c r="I22">
        <v>7.6194139222600096E+16</v>
      </c>
      <c r="J22" t="s">
        <v>93</v>
      </c>
      <c r="K22">
        <v>1158837</v>
      </c>
      <c r="L22">
        <v>168239</v>
      </c>
      <c r="M22" t="s">
        <v>93</v>
      </c>
      <c r="Q22">
        <v>2025</v>
      </c>
      <c r="R22">
        <v>1</v>
      </c>
      <c r="S22" s="2">
        <v>45992</v>
      </c>
      <c r="T22">
        <v>2025</v>
      </c>
    </row>
    <row r="23" spans="1:20" x14ac:dyDescent="0.2">
      <c r="A23" t="s">
        <v>94</v>
      </c>
      <c r="B23" t="s">
        <v>69</v>
      </c>
      <c r="C23" t="s">
        <v>95</v>
      </c>
      <c r="D23" t="s">
        <v>23</v>
      </c>
      <c r="E23" s="1">
        <v>45735</v>
      </c>
      <c r="F23" t="s">
        <v>24</v>
      </c>
      <c r="G23" s="1">
        <v>46273</v>
      </c>
      <c r="H23" t="s">
        <v>58</v>
      </c>
      <c r="I23">
        <v>7.6194138792500096E+16</v>
      </c>
      <c r="J23" t="s">
        <v>96</v>
      </c>
      <c r="K23">
        <v>1114583</v>
      </c>
      <c r="L23">
        <v>162947</v>
      </c>
      <c r="N23" t="s">
        <v>27</v>
      </c>
      <c r="O23" t="s">
        <v>96</v>
      </c>
      <c r="Q23">
        <v>2025</v>
      </c>
      <c r="R23">
        <v>1</v>
      </c>
      <c r="S23" s="2">
        <v>45778</v>
      </c>
      <c r="T23">
        <v>2025</v>
      </c>
    </row>
    <row r="24" spans="1:20" x14ac:dyDescent="0.2">
      <c r="A24" t="s">
        <v>94</v>
      </c>
      <c r="B24" t="s">
        <v>97</v>
      </c>
      <c r="C24" t="s">
        <v>65</v>
      </c>
      <c r="D24" t="s">
        <v>23</v>
      </c>
      <c r="E24" s="1">
        <v>45763</v>
      </c>
      <c r="F24" t="s">
        <v>24</v>
      </c>
      <c r="G24" s="1">
        <v>46273</v>
      </c>
      <c r="H24" t="s">
        <v>98</v>
      </c>
      <c r="I24">
        <v>7.6194138792500192E+16</v>
      </c>
      <c r="J24" t="s">
        <v>96</v>
      </c>
      <c r="K24">
        <v>1123913</v>
      </c>
      <c r="L24">
        <v>162947</v>
      </c>
      <c r="N24" t="s">
        <v>31</v>
      </c>
      <c r="O24" t="s">
        <v>96</v>
      </c>
      <c r="Q24">
        <v>2025</v>
      </c>
      <c r="R24">
        <v>2</v>
      </c>
      <c r="S24" s="2">
        <v>45809</v>
      </c>
      <c r="T24">
        <v>2025</v>
      </c>
    </row>
    <row r="25" spans="1:20" x14ac:dyDescent="0.2">
      <c r="A25" t="s">
        <v>94</v>
      </c>
      <c r="B25" t="s">
        <v>99</v>
      </c>
      <c r="C25" t="s">
        <v>100</v>
      </c>
      <c r="D25" t="s">
        <v>23</v>
      </c>
      <c r="E25" s="1">
        <v>45938</v>
      </c>
      <c r="F25" t="s">
        <v>24</v>
      </c>
      <c r="G25" s="1">
        <v>46273</v>
      </c>
      <c r="H25" t="s">
        <v>51</v>
      </c>
      <c r="I25">
        <v>7.6194138792500304E+16</v>
      </c>
      <c r="J25" t="s">
        <v>96</v>
      </c>
      <c r="K25">
        <v>1164147</v>
      </c>
      <c r="L25">
        <v>162947</v>
      </c>
      <c r="N25" t="s">
        <v>35</v>
      </c>
      <c r="O25" t="s">
        <v>96</v>
      </c>
      <c r="Q25">
        <v>2025</v>
      </c>
      <c r="R25">
        <v>3</v>
      </c>
      <c r="S25" s="2">
        <v>45992</v>
      </c>
      <c r="T25">
        <v>2025</v>
      </c>
    </row>
    <row r="26" spans="1:20" x14ac:dyDescent="0.2">
      <c r="A26" t="s">
        <v>94</v>
      </c>
      <c r="B26" t="s">
        <v>101</v>
      </c>
      <c r="C26" t="s">
        <v>100</v>
      </c>
      <c r="D26" t="s">
        <v>23</v>
      </c>
      <c r="E26" s="1">
        <v>45938</v>
      </c>
      <c r="F26" t="s">
        <v>24</v>
      </c>
      <c r="G26" s="1">
        <v>46273</v>
      </c>
      <c r="H26" t="s">
        <v>51</v>
      </c>
      <c r="I26">
        <v>7.61941387925004E+16</v>
      </c>
      <c r="J26" t="s">
        <v>102</v>
      </c>
      <c r="K26">
        <v>1164148</v>
      </c>
      <c r="L26">
        <v>162947</v>
      </c>
      <c r="N26" t="s">
        <v>103</v>
      </c>
      <c r="O26" t="s">
        <v>102</v>
      </c>
      <c r="Q26">
        <v>2025</v>
      </c>
      <c r="R26">
        <v>4</v>
      </c>
      <c r="S26" s="2">
        <v>45992</v>
      </c>
      <c r="T26">
        <v>2025</v>
      </c>
    </row>
    <row r="27" spans="1:20" x14ac:dyDescent="0.2">
      <c r="A27" t="s">
        <v>94</v>
      </c>
      <c r="B27" t="s">
        <v>38</v>
      </c>
      <c r="C27" t="s">
        <v>104</v>
      </c>
      <c r="D27" t="s">
        <v>23</v>
      </c>
      <c r="E27" s="1">
        <v>45854</v>
      </c>
      <c r="F27" t="s">
        <v>24</v>
      </c>
      <c r="G27" s="1">
        <v>46273</v>
      </c>
      <c r="H27" t="s">
        <v>25</v>
      </c>
      <c r="I27">
        <v>7.6194138792500496E+16</v>
      </c>
      <c r="J27" t="s">
        <v>105</v>
      </c>
      <c r="K27">
        <v>1141250</v>
      </c>
      <c r="L27">
        <v>162947</v>
      </c>
      <c r="N27" t="s">
        <v>106</v>
      </c>
      <c r="O27" t="s">
        <v>105</v>
      </c>
      <c r="Q27">
        <v>2025</v>
      </c>
      <c r="R27">
        <v>5</v>
      </c>
      <c r="S27" s="2">
        <v>45901</v>
      </c>
      <c r="T27">
        <v>2025</v>
      </c>
    </row>
    <row r="28" spans="1:20" x14ac:dyDescent="0.2">
      <c r="A28" t="s">
        <v>94</v>
      </c>
      <c r="B28" t="s">
        <v>107</v>
      </c>
      <c r="C28" t="s">
        <v>104</v>
      </c>
      <c r="D28" t="s">
        <v>23</v>
      </c>
      <c r="E28" s="1">
        <v>45889</v>
      </c>
      <c r="F28" t="s">
        <v>24</v>
      </c>
      <c r="G28" s="1">
        <v>46273</v>
      </c>
      <c r="H28" t="s">
        <v>25</v>
      </c>
      <c r="I28">
        <v>7.6194138792500608E+16</v>
      </c>
      <c r="J28" t="s">
        <v>108</v>
      </c>
      <c r="K28">
        <v>1146525</v>
      </c>
      <c r="L28">
        <v>162947</v>
      </c>
      <c r="M28" t="s">
        <v>108</v>
      </c>
      <c r="N28" t="s">
        <v>109</v>
      </c>
      <c r="Q28">
        <v>2025</v>
      </c>
      <c r="R28">
        <v>6</v>
      </c>
      <c r="S28" s="2">
        <v>45931</v>
      </c>
      <c r="T28">
        <v>2025</v>
      </c>
    </row>
    <row r="29" spans="1:20" x14ac:dyDescent="0.2">
      <c r="A29" t="s">
        <v>94</v>
      </c>
      <c r="B29" t="s">
        <v>110</v>
      </c>
      <c r="C29" t="s">
        <v>104</v>
      </c>
      <c r="D29" t="s">
        <v>23</v>
      </c>
      <c r="E29" s="1">
        <v>45917</v>
      </c>
      <c r="F29" t="s">
        <v>24</v>
      </c>
      <c r="G29" s="1">
        <v>46273</v>
      </c>
      <c r="H29" t="s">
        <v>25</v>
      </c>
      <c r="I29">
        <v>7.6194138792500704E+16</v>
      </c>
      <c r="J29" t="s">
        <v>105</v>
      </c>
      <c r="K29">
        <v>1152524</v>
      </c>
      <c r="L29">
        <v>162947</v>
      </c>
      <c r="N29" t="s">
        <v>35</v>
      </c>
      <c r="O29" t="s">
        <v>105</v>
      </c>
      <c r="Q29">
        <v>2025</v>
      </c>
      <c r="R29">
        <v>7</v>
      </c>
      <c r="S29" s="2">
        <v>45962</v>
      </c>
      <c r="T29">
        <v>2025</v>
      </c>
    </row>
    <row r="30" spans="1:20" x14ac:dyDescent="0.2">
      <c r="A30" t="s">
        <v>94</v>
      </c>
      <c r="B30" t="s">
        <v>111</v>
      </c>
      <c r="C30" t="s">
        <v>112</v>
      </c>
      <c r="D30" t="s">
        <v>23</v>
      </c>
      <c r="E30" s="1">
        <v>46050</v>
      </c>
      <c r="F30" t="s">
        <v>24</v>
      </c>
      <c r="G30" s="1">
        <v>46273</v>
      </c>
      <c r="H30" t="s">
        <v>44</v>
      </c>
      <c r="I30">
        <v>7.6194138792501104E+16</v>
      </c>
      <c r="J30" t="s">
        <v>113</v>
      </c>
      <c r="K30">
        <v>1178590</v>
      </c>
      <c r="L30">
        <v>162947</v>
      </c>
      <c r="N30" t="s">
        <v>27</v>
      </c>
      <c r="O30" t="s">
        <v>113</v>
      </c>
      <c r="Q30">
        <v>2026</v>
      </c>
      <c r="R30">
        <v>11</v>
      </c>
      <c r="S30" s="2">
        <v>46082</v>
      </c>
      <c r="T30">
        <v>2026</v>
      </c>
    </row>
    <row r="31" spans="1:20" x14ac:dyDescent="0.2">
      <c r="A31" t="s">
        <v>94</v>
      </c>
      <c r="B31" t="s">
        <v>114</v>
      </c>
      <c r="C31" t="s">
        <v>104</v>
      </c>
      <c r="D31" t="s">
        <v>23</v>
      </c>
      <c r="E31" s="1">
        <v>46085</v>
      </c>
      <c r="F31" t="s">
        <v>24</v>
      </c>
      <c r="G31" s="1">
        <v>46273</v>
      </c>
      <c r="H31" t="s">
        <v>25</v>
      </c>
      <c r="I31">
        <v>7.61941387925012E+16</v>
      </c>
      <c r="J31" t="s">
        <v>113</v>
      </c>
      <c r="K31">
        <v>1183063</v>
      </c>
      <c r="L31">
        <v>162947</v>
      </c>
      <c r="N31" t="s">
        <v>31</v>
      </c>
      <c r="O31" t="s">
        <v>113</v>
      </c>
      <c r="Q31">
        <v>2026</v>
      </c>
      <c r="R31">
        <v>12</v>
      </c>
      <c r="S31" s="2">
        <v>46143</v>
      </c>
      <c r="T31">
        <v>2026</v>
      </c>
    </row>
    <row r="32" spans="1:20" x14ac:dyDescent="0.2">
      <c r="A32" t="s">
        <v>94</v>
      </c>
      <c r="B32" t="s">
        <v>115</v>
      </c>
      <c r="C32" t="s">
        <v>116</v>
      </c>
      <c r="D32" t="s">
        <v>23</v>
      </c>
      <c r="E32" s="1">
        <v>46099</v>
      </c>
      <c r="F32" t="s">
        <v>24</v>
      </c>
      <c r="G32" s="1">
        <v>46273</v>
      </c>
      <c r="H32" t="s">
        <v>98</v>
      </c>
      <c r="I32">
        <v>7.6194138792501296E+16</v>
      </c>
      <c r="J32" t="s">
        <v>117</v>
      </c>
      <c r="K32">
        <v>1188537</v>
      </c>
      <c r="L32">
        <v>162947</v>
      </c>
      <c r="N32" t="s">
        <v>27</v>
      </c>
      <c r="O32" t="s">
        <v>117</v>
      </c>
      <c r="Q32">
        <v>2026</v>
      </c>
      <c r="R32">
        <v>13</v>
      </c>
      <c r="S32" s="2">
        <v>46143</v>
      </c>
      <c r="T32">
        <v>2026</v>
      </c>
    </row>
    <row r="33" spans="1:20" x14ac:dyDescent="0.2">
      <c r="A33" t="s">
        <v>94</v>
      </c>
      <c r="B33" t="s">
        <v>118</v>
      </c>
      <c r="C33" t="s">
        <v>119</v>
      </c>
      <c r="D33" t="s">
        <v>23</v>
      </c>
      <c r="E33" s="1">
        <v>46218</v>
      </c>
      <c r="F33" t="s">
        <v>24</v>
      </c>
      <c r="G33" s="1">
        <v>46273</v>
      </c>
      <c r="H33" t="s">
        <v>98</v>
      </c>
      <c r="I33">
        <v>7.6194138792501696E+16</v>
      </c>
      <c r="J33" t="s">
        <v>120</v>
      </c>
      <c r="K33">
        <v>1214876</v>
      </c>
      <c r="L33">
        <v>162947</v>
      </c>
      <c r="M33" t="s">
        <v>120</v>
      </c>
      <c r="Q33">
        <v>2026</v>
      </c>
      <c r="R33">
        <v>17</v>
      </c>
      <c r="S33" s="2">
        <v>46266</v>
      </c>
      <c r="T33">
        <v>2026</v>
      </c>
    </row>
    <row r="34" spans="1:20" x14ac:dyDescent="0.2">
      <c r="A34" t="s">
        <v>121</v>
      </c>
      <c r="B34" t="s">
        <v>21</v>
      </c>
      <c r="C34" t="s">
        <v>122</v>
      </c>
      <c r="D34" t="s">
        <v>23</v>
      </c>
      <c r="E34" s="1">
        <v>46162</v>
      </c>
      <c r="F34" t="s">
        <v>24</v>
      </c>
      <c r="G34" s="1">
        <v>46273</v>
      </c>
      <c r="H34" t="s">
        <v>25</v>
      </c>
      <c r="I34">
        <v>7.6194139422000096E+16</v>
      </c>
      <c r="J34" t="s">
        <v>123</v>
      </c>
      <c r="K34">
        <v>1202223</v>
      </c>
      <c r="L34">
        <v>173992</v>
      </c>
      <c r="N34" t="s">
        <v>124</v>
      </c>
      <c r="O34" t="s">
        <v>123</v>
      </c>
      <c r="Q34">
        <v>2026</v>
      </c>
      <c r="R34">
        <v>1</v>
      </c>
      <c r="S34" s="2">
        <v>46204</v>
      </c>
      <c r="T34">
        <v>2026</v>
      </c>
    </row>
    <row r="35" spans="1:20" x14ac:dyDescent="0.2">
      <c r="A35" t="s">
        <v>121</v>
      </c>
      <c r="B35" t="s">
        <v>125</v>
      </c>
      <c r="C35" t="s">
        <v>122</v>
      </c>
      <c r="D35" t="s">
        <v>23</v>
      </c>
      <c r="E35" s="1">
        <v>46190</v>
      </c>
      <c r="F35" t="s">
        <v>24</v>
      </c>
      <c r="G35" s="1">
        <v>46273</v>
      </c>
      <c r="H35" t="s">
        <v>25</v>
      </c>
      <c r="I35">
        <v>7.6194139422000192E+16</v>
      </c>
      <c r="J35" t="s">
        <v>123</v>
      </c>
      <c r="K35">
        <v>1208027</v>
      </c>
      <c r="L35">
        <v>173992</v>
      </c>
      <c r="N35" t="s">
        <v>86</v>
      </c>
      <c r="O35" t="s">
        <v>123</v>
      </c>
      <c r="Q35">
        <v>2026</v>
      </c>
      <c r="R35">
        <v>2</v>
      </c>
      <c r="S35" s="2">
        <v>46235</v>
      </c>
      <c r="T35">
        <v>2026</v>
      </c>
    </row>
    <row r="36" spans="1:20" x14ac:dyDescent="0.2">
      <c r="A36" t="s">
        <v>126</v>
      </c>
      <c r="B36" t="s">
        <v>127</v>
      </c>
      <c r="C36" t="s">
        <v>128</v>
      </c>
      <c r="D36" t="s">
        <v>23</v>
      </c>
      <c r="E36" s="1">
        <v>45749</v>
      </c>
      <c r="F36" t="s">
        <v>24</v>
      </c>
      <c r="G36" s="1">
        <v>46273</v>
      </c>
      <c r="H36" t="s">
        <v>62</v>
      </c>
      <c r="I36">
        <v>7.6194138648500096E+16</v>
      </c>
      <c r="J36" t="s">
        <v>129</v>
      </c>
      <c r="K36">
        <v>1114617</v>
      </c>
      <c r="L36">
        <v>162901</v>
      </c>
      <c r="M36" t="s">
        <v>129</v>
      </c>
      <c r="Q36">
        <v>2025</v>
      </c>
      <c r="R36">
        <v>1</v>
      </c>
      <c r="S36" s="2">
        <v>45809</v>
      </c>
      <c r="T36">
        <v>2025</v>
      </c>
    </row>
    <row r="37" spans="1:20" x14ac:dyDescent="0.2">
      <c r="A37" t="s">
        <v>126</v>
      </c>
      <c r="B37" t="s">
        <v>125</v>
      </c>
      <c r="C37" t="s">
        <v>130</v>
      </c>
      <c r="D37" t="s">
        <v>23</v>
      </c>
      <c r="E37" s="1">
        <v>45784</v>
      </c>
      <c r="F37" t="s">
        <v>24</v>
      </c>
      <c r="G37" s="1">
        <v>46273</v>
      </c>
      <c r="H37" t="s">
        <v>25</v>
      </c>
      <c r="I37">
        <v>7.6194138648500192E+16</v>
      </c>
      <c r="J37" t="s">
        <v>131</v>
      </c>
      <c r="K37">
        <v>1132703</v>
      </c>
      <c r="L37">
        <v>162901</v>
      </c>
      <c r="M37" t="s">
        <v>131</v>
      </c>
      <c r="Q37">
        <v>2025</v>
      </c>
      <c r="R37">
        <v>2</v>
      </c>
      <c r="S37" s="2">
        <v>45839</v>
      </c>
      <c r="T37">
        <v>2025</v>
      </c>
    </row>
    <row r="38" spans="1:20" x14ac:dyDescent="0.2">
      <c r="A38" t="s">
        <v>126</v>
      </c>
      <c r="B38" t="s">
        <v>132</v>
      </c>
      <c r="C38" t="s">
        <v>133</v>
      </c>
      <c r="D38" t="s">
        <v>23</v>
      </c>
      <c r="E38" s="1">
        <v>45840</v>
      </c>
      <c r="F38" t="s">
        <v>24</v>
      </c>
      <c r="G38" s="1">
        <v>46273</v>
      </c>
      <c r="H38" t="s">
        <v>44</v>
      </c>
      <c r="I38">
        <v>7.61941386485004E+16</v>
      </c>
      <c r="J38" t="s">
        <v>134</v>
      </c>
      <c r="K38">
        <v>1141276</v>
      </c>
      <c r="L38">
        <v>162901</v>
      </c>
      <c r="M38" t="s">
        <v>134</v>
      </c>
      <c r="Q38">
        <v>2025</v>
      </c>
      <c r="R38">
        <v>4</v>
      </c>
      <c r="S38" s="2">
        <v>45901</v>
      </c>
      <c r="T38">
        <v>2025</v>
      </c>
    </row>
    <row r="39" spans="1:20" x14ac:dyDescent="0.2">
      <c r="A39" t="s">
        <v>126</v>
      </c>
      <c r="B39" t="s">
        <v>38</v>
      </c>
      <c r="C39" t="s">
        <v>130</v>
      </c>
      <c r="D39" t="s">
        <v>23</v>
      </c>
      <c r="E39" s="1">
        <v>45875</v>
      </c>
      <c r="F39" t="s">
        <v>24</v>
      </c>
      <c r="G39" s="1">
        <v>46273</v>
      </c>
      <c r="H39" t="s">
        <v>25</v>
      </c>
      <c r="I39">
        <v>7.6194138648500496E+16</v>
      </c>
      <c r="J39" t="s">
        <v>135</v>
      </c>
      <c r="K39">
        <v>1146552</v>
      </c>
      <c r="L39">
        <v>162901</v>
      </c>
      <c r="M39" t="s">
        <v>135</v>
      </c>
      <c r="Q39">
        <v>2025</v>
      </c>
      <c r="R39">
        <v>5</v>
      </c>
      <c r="S39" s="2">
        <v>45931</v>
      </c>
      <c r="T39">
        <v>2025</v>
      </c>
    </row>
    <row r="40" spans="1:20" x14ac:dyDescent="0.2">
      <c r="A40" t="s">
        <v>126</v>
      </c>
      <c r="B40" t="s">
        <v>136</v>
      </c>
      <c r="C40" t="s">
        <v>133</v>
      </c>
      <c r="D40" t="s">
        <v>23</v>
      </c>
      <c r="E40" s="1">
        <v>45903</v>
      </c>
      <c r="F40" t="s">
        <v>24</v>
      </c>
      <c r="G40" s="1">
        <v>46273</v>
      </c>
      <c r="H40" t="s">
        <v>44</v>
      </c>
      <c r="I40">
        <v>7.6194138648500608E+16</v>
      </c>
      <c r="J40" t="s">
        <v>137</v>
      </c>
      <c r="K40">
        <v>1152544</v>
      </c>
      <c r="L40">
        <v>162901</v>
      </c>
      <c r="M40" t="s">
        <v>137</v>
      </c>
      <c r="N40" t="s">
        <v>138</v>
      </c>
      <c r="Q40">
        <v>2025</v>
      </c>
      <c r="R40">
        <v>6</v>
      </c>
      <c r="S40" s="2">
        <v>45962</v>
      </c>
      <c r="T40">
        <v>2025</v>
      </c>
    </row>
    <row r="41" spans="1:20" x14ac:dyDescent="0.2">
      <c r="A41" t="s">
        <v>126</v>
      </c>
      <c r="B41" t="s">
        <v>42</v>
      </c>
      <c r="C41" t="s">
        <v>139</v>
      </c>
      <c r="D41" t="s">
        <v>23</v>
      </c>
      <c r="E41" s="1">
        <v>45931</v>
      </c>
      <c r="F41" t="s">
        <v>24</v>
      </c>
      <c r="G41" s="1">
        <v>46273</v>
      </c>
      <c r="H41" t="s">
        <v>44</v>
      </c>
      <c r="I41">
        <v>7.6194138648500704E+16</v>
      </c>
      <c r="J41" t="s">
        <v>140</v>
      </c>
      <c r="K41">
        <v>1158515</v>
      </c>
      <c r="L41">
        <v>162901</v>
      </c>
      <c r="M41" t="s">
        <v>140</v>
      </c>
      <c r="N41" t="s">
        <v>141</v>
      </c>
      <c r="Q41">
        <v>2025</v>
      </c>
      <c r="R41">
        <v>7</v>
      </c>
      <c r="S41" s="2">
        <v>45992</v>
      </c>
      <c r="T41">
        <v>2025</v>
      </c>
    </row>
    <row r="42" spans="1:20" x14ac:dyDescent="0.2">
      <c r="A42" t="s">
        <v>126</v>
      </c>
      <c r="B42" t="s">
        <v>142</v>
      </c>
      <c r="C42" t="s">
        <v>130</v>
      </c>
      <c r="D42" t="s">
        <v>23</v>
      </c>
      <c r="E42" s="1">
        <v>45966</v>
      </c>
      <c r="F42" t="s">
        <v>24</v>
      </c>
      <c r="G42" s="1">
        <v>46273</v>
      </c>
      <c r="H42" t="s">
        <v>25</v>
      </c>
      <c r="I42">
        <v>7.61941386485008E+16</v>
      </c>
      <c r="J42" t="s">
        <v>143</v>
      </c>
      <c r="K42">
        <v>1163840</v>
      </c>
      <c r="L42">
        <v>162901</v>
      </c>
      <c r="M42" t="s">
        <v>143</v>
      </c>
      <c r="N42" t="s">
        <v>144</v>
      </c>
      <c r="Q42">
        <v>2025</v>
      </c>
      <c r="R42">
        <v>8</v>
      </c>
      <c r="S42" s="2">
        <v>46023</v>
      </c>
      <c r="T42">
        <v>2026</v>
      </c>
    </row>
    <row r="43" spans="1:20" x14ac:dyDescent="0.2">
      <c r="A43" t="s">
        <v>126</v>
      </c>
      <c r="B43" t="s">
        <v>145</v>
      </c>
      <c r="C43" t="s">
        <v>146</v>
      </c>
      <c r="D43" t="s">
        <v>23</v>
      </c>
      <c r="E43" s="1">
        <v>45994</v>
      </c>
      <c r="F43" t="s">
        <v>24</v>
      </c>
      <c r="G43" s="1">
        <v>46273</v>
      </c>
      <c r="H43" t="s">
        <v>98</v>
      </c>
      <c r="I43">
        <v>7.6194138648500896E+16</v>
      </c>
      <c r="J43" t="s">
        <v>147</v>
      </c>
      <c r="K43">
        <v>1169572</v>
      </c>
      <c r="L43">
        <v>162901</v>
      </c>
      <c r="M43" t="s">
        <v>147</v>
      </c>
      <c r="N43" t="s">
        <v>148</v>
      </c>
      <c r="Q43">
        <v>2025</v>
      </c>
      <c r="R43">
        <v>9</v>
      </c>
      <c r="S43" s="2">
        <v>46054</v>
      </c>
      <c r="T43">
        <v>2026</v>
      </c>
    </row>
    <row r="44" spans="1:20" x14ac:dyDescent="0.2">
      <c r="A44" t="s">
        <v>126</v>
      </c>
      <c r="B44" t="s">
        <v>149</v>
      </c>
      <c r="C44" t="s">
        <v>130</v>
      </c>
      <c r="D44" t="s">
        <v>23</v>
      </c>
      <c r="E44" s="1">
        <v>46029</v>
      </c>
      <c r="F44" t="s">
        <v>24</v>
      </c>
      <c r="G44" s="1">
        <v>46273</v>
      </c>
      <c r="H44" t="s">
        <v>25</v>
      </c>
      <c r="I44">
        <v>7.6194138648500992E+16</v>
      </c>
      <c r="J44" t="s">
        <v>150</v>
      </c>
      <c r="K44">
        <v>1178593</v>
      </c>
      <c r="L44">
        <v>162901</v>
      </c>
      <c r="M44" t="s">
        <v>150</v>
      </c>
      <c r="N44" t="s">
        <v>151</v>
      </c>
      <c r="Q44">
        <v>2026</v>
      </c>
      <c r="R44">
        <v>10</v>
      </c>
      <c r="S44" s="2">
        <v>46082</v>
      </c>
      <c r="T44">
        <v>2026</v>
      </c>
    </row>
    <row r="45" spans="1:20" x14ac:dyDescent="0.2">
      <c r="A45" t="s">
        <v>126</v>
      </c>
      <c r="B45" t="s">
        <v>152</v>
      </c>
      <c r="C45" t="s">
        <v>130</v>
      </c>
      <c r="D45" t="s">
        <v>23</v>
      </c>
      <c r="E45" s="1">
        <v>46057</v>
      </c>
      <c r="F45" t="s">
        <v>24</v>
      </c>
      <c r="G45" s="1">
        <v>46273</v>
      </c>
      <c r="H45" t="s">
        <v>25</v>
      </c>
      <c r="I45">
        <v>7.6194138648501104E+16</v>
      </c>
      <c r="J45" t="s">
        <v>153</v>
      </c>
      <c r="K45">
        <v>1183119</v>
      </c>
      <c r="L45">
        <v>162901</v>
      </c>
      <c r="M45" t="s">
        <v>153</v>
      </c>
      <c r="N45" t="s">
        <v>154</v>
      </c>
      <c r="Q45">
        <v>2026</v>
      </c>
      <c r="R45">
        <v>11</v>
      </c>
      <c r="S45" s="2">
        <v>46113</v>
      </c>
      <c r="T45">
        <v>2026</v>
      </c>
    </row>
    <row r="46" spans="1:20" x14ac:dyDescent="0.2">
      <c r="A46" t="s">
        <v>126</v>
      </c>
      <c r="B46" t="s">
        <v>114</v>
      </c>
      <c r="C46" t="s">
        <v>130</v>
      </c>
      <c r="D46" t="s">
        <v>23</v>
      </c>
      <c r="E46" s="1">
        <v>46092</v>
      </c>
      <c r="F46" t="s">
        <v>24</v>
      </c>
      <c r="G46" s="1">
        <v>46273</v>
      </c>
      <c r="H46" t="s">
        <v>25</v>
      </c>
      <c r="I46">
        <v>7.61941386485012E+16</v>
      </c>
      <c r="J46" t="s">
        <v>155</v>
      </c>
      <c r="K46">
        <v>1188555</v>
      </c>
      <c r="L46">
        <v>162901</v>
      </c>
      <c r="M46" t="s">
        <v>155</v>
      </c>
      <c r="N46" t="s">
        <v>156</v>
      </c>
      <c r="Q46">
        <v>2026</v>
      </c>
      <c r="R46">
        <v>12</v>
      </c>
      <c r="S46" s="2">
        <v>46143</v>
      </c>
      <c r="T46">
        <v>2026</v>
      </c>
    </row>
    <row r="47" spans="1:20" x14ac:dyDescent="0.2">
      <c r="A47" t="s">
        <v>126</v>
      </c>
      <c r="B47" t="s">
        <v>157</v>
      </c>
      <c r="C47" t="s">
        <v>130</v>
      </c>
      <c r="D47" t="s">
        <v>23</v>
      </c>
      <c r="E47" s="1">
        <v>46239</v>
      </c>
      <c r="F47" t="s">
        <v>24</v>
      </c>
      <c r="G47" s="1">
        <v>46273</v>
      </c>
      <c r="H47" t="s">
        <v>25</v>
      </c>
      <c r="I47">
        <v>7.6194138648501696E+16</v>
      </c>
      <c r="J47" t="s">
        <v>158</v>
      </c>
      <c r="K47">
        <v>1222984</v>
      </c>
      <c r="L47">
        <v>162901</v>
      </c>
      <c r="M47" t="s">
        <v>158</v>
      </c>
      <c r="N47" t="s">
        <v>159</v>
      </c>
      <c r="Q47">
        <v>2026</v>
      </c>
      <c r="R47">
        <v>17</v>
      </c>
      <c r="S47" s="2">
        <v>46296</v>
      </c>
      <c r="T47">
        <v>2026</v>
      </c>
    </row>
    <row r="48" spans="1:20" x14ac:dyDescent="0.2">
      <c r="A48" t="s">
        <v>126</v>
      </c>
      <c r="B48" t="s">
        <v>67</v>
      </c>
      <c r="C48" t="s">
        <v>130</v>
      </c>
      <c r="D48" t="s">
        <v>23</v>
      </c>
      <c r="E48" s="1">
        <v>46267</v>
      </c>
      <c r="F48" t="s">
        <v>24</v>
      </c>
      <c r="G48" s="1">
        <v>46273</v>
      </c>
      <c r="H48" t="s">
        <v>25</v>
      </c>
      <c r="I48">
        <v>7.6194138648501792E+16</v>
      </c>
      <c r="J48" t="s">
        <v>160</v>
      </c>
      <c r="K48">
        <v>1231293</v>
      </c>
      <c r="L48">
        <v>162901</v>
      </c>
      <c r="M48" t="s">
        <v>160</v>
      </c>
      <c r="N48" t="s">
        <v>161</v>
      </c>
      <c r="Q48">
        <v>2026</v>
      </c>
      <c r="R48">
        <v>18</v>
      </c>
      <c r="S48" s="2">
        <v>46327</v>
      </c>
      <c r="T48">
        <v>2026</v>
      </c>
    </row>
    <row r="49" spans="1:20" x14ac:dyDescent="0.2">
      <c r="A49" t="s">
        <v>162</v>
      </c>
      <c r="B49" t="s">
        <v>163</v>
      </c>
      <c r="C49" t="s">
        <v>164</v>
      </c>
      <c r="D49" t="s">
        <v>23</v>
      </c>
      <c r="E49" s="1">
        <v>45742</v>
      </c>
      <c r="F49" t="s">
        <v>24</v>
      </c>
      <c r="G49" s="1">
        <v>46273</v>
      </c>
      <c r="H49" t="s">
        <v>165</v>
      </c>
      <c r="I49">
        <v>7.6194138788800096E+16</v>
      </c>
      <c r="K49">
        <v>1114597</v>
      </c>
      <c r="L49">
        <v>162948</v>
      </c>
      <c r="Q49">
        <v>2025</v>
      </c>
      <c r="R49">
        <v>1</v>
      </c>
      <c r="S49" s="2">
        <v>45778</v>
      </c>
      <c r="T49">
        <v>2025</v>
      </c>
    </row>
    <row r="50" spans="1:20" x14ac:dyDescent="0.2">
      <c r="A50" t="s">
        <v>162</v>
      </c>
      <c r="B50" t="s">
        <v>125</v>
      </c>
      <c r="C50" t="s">
        <v>166</v>
      </c>
      <c r="D50" t="s">
        <v>23</v>
      </c>
      <c r="E50" s="1">
        <v>45770</v>
      </c>
      <c r="F50" t="s">
        <v>24</v>
      </c>
      <c r="G50" s="1">
        <v>46273</v>
      </c>
      <c r="H50" t="s">
        <v>25</v>
      </c>
      <c r="I50">
        <v>7.6194138788800192E+16</v>
      </c>
      <c r="K50">
        <v>1123748</v>
      </c>
      <c r="L50">
        <v>162948</v>
      </c>
      <c r="Q50">
        <v>2025</v>
      </c>
      <c r="R50">
        <v>2</v>
      </c>
      <c r="S50" s="2">
        <v>45809</v>
      </c>
      <c r="T50">
        <v>2025</v>
      </c>
    </row>
    <row r="51" spans="1:20" x14ac:dyDescent="0.2">
      <c r="A51" t="s">
        <v>162</v>
      </c>
      <c r="B51" t="s">
        <v>99</v>
      </c>
      <c r="C51" t="s">
        <v>167</v>
      </c>
      <c r="D51" t="s">
        <v>23</v>
      </c>
      <c r="E51" s="1">
        <v>45924</v>
      </c>
      <c r="F51" t="s">
        <v>24</v>
      </c>
      <c r="G51" s="1">
        <v>46273</v>
      </c>
      <c r="H51" t="s">
        <v>51</v>
      </c>
      <c r="I51">
        <v>7.6194138788800304E+16</v>
      </c>
      <c r="K51">
        <v>1164141</v>
      </c>
      <c r="L51">
        <v>162948</v>
      </c>
      <c r="Q51">
        <v>2025</v>
      </c>
      <c r="R51">
        <v>3</v>
      </c>
      <c r="S51" s="2">
        <v>45962</v>
      </c>
      <c r="T51">
        <v>2025</v>
      </c>
    </row>
    <row r="52" spans="1:20" x14ac:dyDescent="0.2">
      <c r="A52" t="s">
        <v>162</v>
      </c>
      <c r="B52" t="s">
        <v>132</v>
      </c>
      <c r="C52" t="s">
        <v>168</v>
      </c>
      <c r="D52" t="s">
        <v>23</v>
      </c>
      <c r="E52" s="1">
        <v>45833</v>
      </c>
      <c r="F52" t="s">
        <v>24</v>
      </c>
      <c r="G52" s="1">
        <v>46273</v>
      </c>
      <c r="H52" t="s">
        <v>44</v>
      </c>
      <c r="I52">
        <v>7.61941387888004E+16</v>
      </c>
      <c r="K52">
        <v>1136472</v>
      </c>
      <c r="L52">
        <v>162948</v>
      </c>
      <c r="Q52">
        <v>2025</v>
      </c>
      <c r="R52">
        <v>4</v>
      </c>
      <c r="S52" s="2">
        <v>45870</v>
      </c>
      <c r="T52">
        <v>2025</v>
      </c>
    </row>
    <row r="53" spans="1:20" x14ac:dyDescent="0.2">
      <c r="A53" t="s">
        <v>162</v>
      </c>
      <c r="B53" t="s">
        <v>169</v>
      </c>
      <c r="C53" t="s">
        <v>167</v>
      </c>
      <c r="D53" t="s">
        <v>23</v>
      </c>
      <c r="E53" s="1">
        <v>45924</v>
      </c>
      <c r="F53" t="s">
        <v>24</v>
      </c>
      <c r="G53" s="1">
        <v>46273</v>
      </c>
      <c r="H53" t="s">
        <v>51</v>
      </c>
      <c r="I53">
        <v>7.6194138788800496E+16</v>
      </c>
      <c r="K53">
        <v>1164144</v>
      </c>
      <c r="L53">
        <v>162948</v>
      </c>
      <c r="Q53">
        <v>2025</v>
      </c>
      <c r="R53">
        <v>5</v>
      </c>
      <c r="S53" s="2">
        <v>45962</v>
      </c>
      <c r="T53">
        <v>2025</v>
      </c>
    </row>
    <row r="54" spans="1:20" x14ac:dyDescent="0.2">
      <c r="A54" t="s">
        <v>162</v>
      </c>
      <c r="B54" t="s">
        <v>39</v>
      </c>
      <c r="C54" t="s">
        <v>170</v>
      </c>
      <c r="D54" t="s">
        <v>23</v>
      </c>
      <c r="E54" s="1">
        <v>45896</v>
      </c>
      <c r="F54" t="s">
        <v>24</v>
      </c>
      <c r="G54" s="1">
        <v>46273</v>
      </c>
      <c r="H54" t="s">
        <v>34</v>
      </c>
      <c r="I54">
        <v>7.6194138788800608E+16</v>
      </c>
      <c r="K54">
        <v>1146549</v>
      </c>
      <c r="L54">
        <v>162948</v>
      </c>
      <c r="Q54">
        <v>2025</v>
      </c>
      <c r="R54">
        <v>6</v>
      </c>
      <c r="S54" s="2">
        <v>45931</v>
      </c>
      <c r="T54">
        <v>2025</v>
      </c>
    </row>
    <row r="55" spans="1:20" x14ac:dyDescent="0.2">
      <c r="A55" t="s">
        <v>162</v>
      </c>
      <c r="B55" t="s">
        <v>171</v>
      </c>
      <c r="C55" t="s">
        <v>172</v>
      </c>
      <c r="D55" t="s">
        <v>23</v>
      </c>
      <c r="E55" s="1">
        <v>46106</v>
      </c>
      <c r="F55" t="s">
        <v>24</v>
      </c>
      <c r="G55" s="1">
        <v>46273</v>
      </c>
      <c r="H55" t="s">
        <v>34</v>
      </c>
      <c r="I55">
        <v>7.6194138788800992E+16</v>
      </c>
      <c r="K55">
        <v>1188567</v>
      </c>
      <c r="L55">
        <v>162948</v>
      </c>
      <c r="Q55">
        <v>2026</v>
      </c>
      <c r="R55">
        <v>10</v>
      </c>
      <c r="S55" s="2">
        <v>46143</v>
      </c>
      <c r="T55">
        <v>2026</v>
      </c>
    </row>
    <row r="56" spans="1:20" x14ac:dyDescent="0.2">
      <c r="A56" t="s">
        <v>162</v>
      </c>
      <c r="B56" t="s">
        <v>171</v>
      </c>
      <c r="C56" t="s">
        <v>172</v>
      </c>
      <c r="D56" t="s">
        <v>23</v>
      </c>
      <c r="E56" s="1">
        <v>46106</v>
      </c>
      <c r="F56" t="s">
        <v>24</v>
      </c>
      <c r="G56" s="1">
        <v>46273</v>
      </c>
      <c r="H56" t="s">
        <v>34</v>
      </c>
      <c r="I56">
        <v>7.6194138788800992E+16</v>
      </c>
      <c r="K56">
        <v>1188567</v>
      </c>
      <c r="L56">
        <v>162948</v>
      </c>
      <c r="Q56">
        <v>2026</v>
      </c>
      <c r="R56">
        <v>10</v>
      </c>
      <c r="S56" s="2">
        <v>46143</v>
      </c>
      <c r="T56">
        <v>2026</v>
      </c>
    </row>
    <row r="57" spans="1:20" x14ac:dyDescent="0.2">
      <c r="A57" t="s">
        <v>162</v>
      </c>
      <c r="B57" t="s">
        <v>152</v>
      </c>
      <c r="C57" t="s">
        <v>166</v>
      </c>
      <c r="D57" t="s">
        <v>23</v>
      </c>
      <c r="E57" s="1">
        <v>46155</v>
      </c>
      <c r="F57" t="s">
        <v>24</v>
      </c>
      <c r="G57" s="1">
        <v>46273</v>
      </c>
      <c r="H57" t="s">
        <v>25</v>
      </c>
      <c r="I57">
        <v>7.6194138788801104E+16</v>
      </c>
      <c r="K57">
        <v>1194840</v>
      </c>
      <c r="L57">
        <v>162948</v>
      </c>
      <c r="Q57">
        <v>2026</v>
      </c>
      <c r="R57">
        <v>11</v>
      </c>
      <c r="S57" s="2">
        <v>46204</v>
      </c>
      <c r="T57">
        <v>2026</v>
      </c>
    </row>
    <row r="58" spans="1:20" x14ac:dyDescent="0.2">
      <c r="A58" t="s">
        <v>173</v>
      </c>
      <c r="B58" t="s">
        <v>174</v>
      </c>
      <c r="C58" t="s">
        <v>175</v>
      </c>
      <c r="D58" t="s">
        <v>23</v>
      </c>
      <c r="E58" s="1">
        <v>45602</v>
      </c>
      <c r="F58" t="s">
        <v>24</v>
      </c>
      <c r="G58" s="1">
        <v>46273</v>
      </c>
      <c r="H58" t="s">
        <v>34</v>
      </c>
      <c r="I58">
        <v>7.6194138585300096E+16</v>
      </c>
      <c r="J58" t="s">
        <v>176</v>
      </c>
      <c r="K58">
        <v>1078473</v>
      </c>
      <c r="L58">
        <v>157768</v>
      </c>
      <c r="M58" t="s">
        <v>177</v>
      </c>
      <c r="N58" t="s">
        <v>178</v>
      </c>
      <c r="O58" t="s">
        <v>179</v>
      </c>
      <c r="Q58">
        <v>2024</v>
      </c>
      <c r="R58">
        <v>1</v>
      </c>
      <c r="S58" s="2">
        <v>45658</v>
      </c>
      <c r="T58">
        <v>2025</v>
      </c>
    </row>
    <row r="59" spans="1:20" x14ac:dyDescent="0.2">
      <c r="A59" t="s">
        <v>173</v>
      </c>
      <c r="B59" t="s">
        <v>180</v>
      </c>
      <c r="C59" t="s">
        <v>181</v>
      </c>
      <c r="D59" t="s">
        <v>23</v>
      </c>
      <c r="E59" s="1">
        <v>45630</v>
      </c>
      <c r="F59" t="s">
        <v>24</v>
      </c>
      <c r="G59" s="1">
        <v>46273</v>
      </c>
      <c r="H59" t="s">
        <v>34</v>
      </c>
      <c r="I59">
        <v>7.6194138585300192E+16</v>
      </c>
      <c r="J59" t="s">
        <v>182</v>
      </c>
      <c r="K59">
        <v>1094449</v>
      </c>
      <c r="L59">
        <v>157768</v>
      </c>
      <c r="M59" t="s">
        <v>183</v>
      </c>
      <c r="N59" t="s">
        <v>184</v>
      </c>
      <c r="O59" t="s">
        <v>179</v>
      </c>
      <c r="Q59">
        <v>2024</v>
      </c>
      <c r="R59">
        <v>2</v>
      </c>
      <c r="S59" s="2">
        <v>45689</v>
      </c>
      <c r="T59">
        <v>2025</v>
      </c>
    </row>
    <row r="60" spans="1:20" x14ac:dyDescent="0.2">
      <c r="A60" t="s">
        <v>173</v>
      </c>
      <c r="B60" t="s">
        <v>32</v>
      </c>
      <c r="C60" t="s">
        <v>185</v>
      </c>
      <c r="D60" t="s">
        <v>23</v>
      </c>
      <c r="E60" s="1">
        <v>45658</v>
      </c>
      <c r="F60" t="s">
        <v>24</v>
      </c>
      <c r="G60" s="1">
        <v>46273</v>
      </c>
      <c r="H60" t="s">
        <v>34</v>
      </c>
      <c r="I60">
        <v>7.6194138585300304E+16</v>
      </c>
      <c r="J60" t="s">
        <v>186</v>
      </c>
      <c r="K60">
        <v>1100340</v>
      </c>
      <c r="L60">
        <v>157768</v>
      </c>
      <c r="M60" t="s">
        <v>187</v>
      </c>
      <c r="N60" t="s">
        <v>188</v>
      </c>
      <c r="O60" t="s">
        <v>179</v>
      </c>
      <c r="Q60">
        <v>2025</v>
      </c>
      <c r="R60">
        <v>3</v>
      </c>
      <c r="S60" s="2">
        <v>45717</v>
      </c>
      <c r="T60">
        <v>2025</v>
      </c>
    </row>
    <row r="61" spans="1:20" x14ac:dyDescent="0.2">
      <c r="A61" t="s">
        <v>173</v>
      </c>
      <c r="B61" t="s">
        <v>36</v>
      </c>
      <c r="C61" t="s">
        <v>189</v>
      </c>
      <c r="D61" t="s">
        <v>23</v>
      </c>
      <c r="E61" s="1">
        <v>45693</v>
      </c>
      <c r="F61" t="s">
        <v>24</v>
      </c>
      <c r="G61" s="1">
        <v>46273</v>
      </c>
      <c r="H61" t="s">
        <v>25</v>
      </c>
      <c r="I61">
        <v>7.61941385853004E+16</v>
      </c>
      <c r="J61" t="s">
        <v>190</v>
      </c>
      <c r="K61">
        <v>1107517</v>
      </c>
      <c r="L61">
        <v>157768</v>
      </c>
      <c r="M61" t="s">
        <v>191</v>
      </c>
      <c r="N61" t="s">
        <v>192</v>
      </c>
      <c r="O61" t="s">
        <v>179</v>
      </c>
      <c r="Q61">
        <v>2025</v>
      </c>
      <c r="R61">
        <v>4</v>
      </c>
      <c r="S61" s="2">
        <v>45748</v>
      </c>
      <c r="T61">
        <v>2025</v>
      </c>
    </row>
    <row r="62" spans="1:20" x14ac:dyDescent="0.2">
      <c r="A62" t="s">
        <v>173</v>
      </c>
      <c r="B62" t="s">
        <v>193</v>
      </c>
      <c r="C62" t="s">
        <v>194</v>
      </c>
      <c r="D62" t="s">
        <v>23</v>
      </c>
      <c r="E62" s="1">
        <v>45728</v>
      </c>
      <c r="F62" t="s">
        <v>24</v>
      </c>
      <c r="G62" s="1">
        <v>46273</v>
      </c>
      <c r="H62" t="s">
        <v>34</v>
      </c>
      <c r="I62">
        <v>7.6194138585300496E+16</v>
      </c>
      <c r="J62" t="s">
        <v>195</v>
      </c>
      <c r="K62">
        <v>1112406</v>
      </c>
      <c r="L62">
        <v>157768</v>
      </c>
      <c r="M62" t="s">
        <v>196</v>
      </c>
      <c r="N62" t="s">
        <v>197</v>
      </c>
      <c r="O62" t="s">
        <v>179</v>
      </c>
      <c r="Q62">
        <v>2025</v>
      </c>
      <c r="R62">
        <v>5</v>
      </c>
      <c r="S62" s="2">
        <v>45778</v>
      </c>
      <c r="T62">
        <v>2025</v>
      </c>
    </row>
    <row r="63" spans="1:20" x14ac:dyDescent="0.2">
      <c r="A63" t="s">
        <v>173</v>
      </c>
      <c r="B63" t="s">
        <v>136</v>
      </c>
      <c r="C63" t="s">
        <v>198</v>
      </c>
      <c r="D63" t="s">
        <v>23</v>
      </c>
      <c r="E63" s="1">
        <v>45749</v>
      </c>
      <c r="F63" t="s">
        <v>24</v>
      </c>
      <c r="G63" s="1">
        <v>46273</v>
      </c>
      <c r="H63" t="s">
        <v>44</v>
      </c>
      <c r="I63">
        <v>7.6194138585300608E+16</v>
      </c>
      <c r="J63" t="s">
        <v>199</v>
      </c>
      <c r="K63">
        <v>1123862</v>
      </c>
      <c r="L63">
        <v>157768</v>
      </c>
      <c r="M63" t="s">
        <v>200</v>
      </c>
      <c r="N63" t="s">
        <v>201</v>
      </c>
      <c r="O63" t="s">
        <v>179</v>
      </c>
      <c r="Q63">
        <v>2025</v>
      </c>
      <c r="R63">
        <v>6</v>
      </c>
      <c r="S63" s="2">
        <v>45809</v>
      </c>
      <c r="T63">
        <v>2025</v>
      </c>
    </row>
    <row r="64" spans="1:20" x14ac:dyDescent="0.2">
      <c r="A64" t="s">
        <v>173</v>
      </c>
      <c r="B64" t="s">
        <v>110</v>
      </c>
      <c r="C64" t="s">
        <v>189</v>
      </c>
      <c r="D64" t="s">
        <v>23</v>
      </c>
      <c r="E64" s="1">
        <v>45784</v>
      </c>
      <c r="F64" t="s">
        <v>24</v>
      </c>
      <c r="G64" s="1">
        <v>46273</v>
      </c>
      <c r="H64" t="s">
        <v>25</v>
      </c>
      <c r="I64">
        <v>7.6194138585300704E+16</v>
      </c>
      <c r="J64" t="s">
        <v>202</v>
      </c>
      <c r="K64">
        <v>1132639</v>
      </c>
      <c r="L64">
        <v>157768</v>
      </c>
      <c r="M64" t="s">
        <v>203</v>
      </c>
      <c r="N64" t="s">
        <v>204</v>
      </c>
      <c r="O64" t="s">
        <v>205</v>
      </c>
      <c r="Q64">
        <v>2025</v>
      </c>
      <c r="R64">
        <v>7</v>
      </c>
      <c r="S64" s="2">
        <v>45839</v>
      </c>
      <c r="T64">
        <v>2025</v>
      </c>
    </row>
    <row r="65" spans="1:20" x14ac:dyDescent="0.2">
      <c r="A65" t="s">
        <v>173</v>
      </c>
      <c r="B65" t="s">
        <v>206</v>
      </c>
      <c r="C65" t="s">
        <v>207</v>
      </c>
      <c r="D65" t="s">
        <v>23</v>
      </c>
      <c r="E65" s="1">
        <v>45924</v>
      </c>
      <c r="F65" t="s">
        <v>24</v>
      </c>
      <c r="G65" s="1">
        <v>46273</v>
      </c>
      <c r="H65" t="s">
        <v>51</v>
      </c>
      <c r="I65">
        <v>7.61941385853008E+16</v>
      </c>
      <c r="J65" t="s">
        <v>208</v>
      </c>
      <c r="K65">
        <v>1164137</v>
      </c>
      <c r="L65">
        <v>157768</v>
      </c>
      <c r="M65" t="s">
        <v>80</v>
      </c>
      <c r="N65" t="s">
        <v>209</v>
      </c>
      <c r="O65" t="s">
        <v>205</v>
      </c>
      <c r="Q65">
        <v>2025</v>
      </c>
      <c r="R65">
        <v>8</v>
      </c>
      <c r="S65" s="2">
        <v>45962</v>
      </c>
      <c r="T65">
        <v>2025</v>
      </c>
    </row>
    <row r="66" spans="1:20" x14ac:dyDescent="0.2">
      <c r="A66" t="s">
        <v>173</v>
      </c>
      <c r="B66" t="s">
        <v>210</v>
      </c>
      <c r="C66" t="s">
        <v>207</v>
      </c>
      <c r="D66" t="s">
        <v>23</v>
      </c>
      <c r="E66" s="1">
        <v>45924</v>
      </c>
      <c r="F66" t="s">
        <v>24</v>
      </c>
      <c r="G66" s="1">
        <v>46273</v>
      </c>
      <c r="H66" t="s">
        <v>30</v>
      </c>
      <c r="I66">
        <v>7.6194138585300896E+16</v>
      </c>
      <c r="J66" t="s">
        <v>211</v>
      </c>
      <c r="K66">
        <v>1164138</v>
      </c>
      <c r="L66">
        <v>157768</v>
      </c>
      <c r="M66" t="s">
        <v>85</v>
      </c>
      <c r="N66" t="s">
        <v>212</v>
      </c>
      <c r="O66" t="s">
        <v>205</v>
      </c>
      <c r="Q66">
        <v>2025</v>
      </c>
      <c r="R66">
        <v>9</v>
      </c>
      <c r="S66" s="2">
        <v>45962</v>
      </c>
      <c r="T66">
        <v>2025</v>
      </c>
    </row>
    <row r="67" spans="1:20" x14ac:dyDescent="0.2">
      <c r="A67" t="s">
        <v>173</v>
      </c>
      <c r="B67" t="s">
        <v>213</v>
      </c>
      <c r="C67" t="s">
        <v>207</v>
      </c>
      <c r="D67" t="s">
        <v>23</v>
      </c>
      <c r="E67" s="1">
        <v>45959</v>
      </c>
      <c r="F67" t="s">
        <v>24</v>
      </c>
      <c r="G67" s="1">
        <v>46273</v>
      </c>
      <c r="H67" t="s">
        <v>51</v>
      </c>
      <c r="I67">
        <v>7.6194138585300992E+16</v>
      </c>
      <c r="J67" t="s">
        <v>214</v>
      </c>
      <c r="K67">
        <v>1170247</v>
      </c>
      <c r="L67">
        <v>157768</v>
      </c>
      <c r="M67" t="s">
        <v>90</v>
      </c>
      <c r="N67" t="s">
        <v>215</v>
      </c>
      <c r="O67" t="s">
        <v>205</v>
      </c>
      <c r="Q67">
        <v>2025</v>
      </c>
      <c r="R67">
        <v>10</v>
      </c>
      <c r="S67" s="2">
        <v>45992</v>
      </c>
      <c r="T67">
        <v>2025</v>
      </c>
    </row>
    <row r="68" spans="1:20" x14ac:dyDescent="0.2">
      <c r="A68" t="s">
        <v>173</v>
      </c>
      <c r="B68" t="s">
        <v>111</v>
      </c>
      <c r="C68" t="s">
        <v>216</v>
      </c>
      <c r="D68" t="s">
        <v>23</v>
      </c>
      <c r="E68" s="1">
        <v>45903</v>
      </c>
      <c r="F68" t="s">
        <v>24</v>
      </c>
      <c r="G68" s="1">
        <v>46273</v>
      </c>
      <c r="H68" t="s">
        <v>44</v>
      </c>
      <c r="I68">
        <v>7.6194138585301104E+16</v>
      </c>
      <c r="J68" t="s">
        <v>217</v>
      </c>
      <c r="K68">
        <v>1152677</v>
      </c>
      <c r="L68">
        <v>157768</v>
      </c>
      <c r="M68" t="s">
        <v>196</v>
      </c>
      <c r="N68" t="s">
        <v>218</v>
      </c>
      <c r="O68" t="s">
        <v>205</v>
      </c>
      <c r="Q68">
        <v>2025</v>
      </c>
      <c r="R68">
        <v>11</v>
      </c>
      <c r="S68" s="2">
        <v>45962</v>
      </c>
      <c r="T68">
        <v>2025</v>
      </c>
    </row>
    <row r="69" spans="1:20" x14ac:dyDescent="0.2">
      <c r="A69" t="s">
        <v>173</v>
      </c>
      <c r="B69" t="s">
        <v>118</v>
      </c>
      <c r="C69" t="s">
        <v>219</v>
      </c>
      <c r="D69" t="s">
        <v>23</v>
      </c>
      <c r="E69" s="1">
        <v>46085</v>
      </c>
      <c r="F69" t="s">
        <v>24</v>
      </c>
      <c r="G69" s="1">
        <v>46273</v>
      </c>
      <c r="H69" t="s">
        <v>98</v>
      </c>
      <c r="I69">
        <v>7.6194138585301696E+16</v>
      </c>
      <c r="J69" t="s">
        <v>220</v>
      </c>
      <c r="K69">
        <v>1188466</v>
      </c>
      <c r="L69">
        <v>157768</v>
      </c>
      <c r="M69" t="s">
        <v>221</v>
      </c>
      <c r="O69" t="s">
        <v>222</v>
      </c>
      <c r="Q69">
        <v>2026</v>
      </c>
      <c r="R69">
        <v>17</v>
      </c>
      <c r="S69" s="2">
        <v>46143</v>
      </c>
      <c r="T69">
        <v>2026</v>
      </c>
    </row>
    <row r="70" spans="1:20" x14ac:dyDescent="0.2">
      <c r="A70" t="s">
        <v>173</v>
      </c>
      <c r="B70" t="s">
        <v>223</v>
      </c>
      <c r="C70" t="s">
        <v>224</v>
      </c>
      <c r="D70" t="s">
        <v>23</v>
      </c>
      <c r="E70" s="1">
        <v>46113</v>
      </c>
      <c r="F70" t="s">
        <v>24</v>
      </c>
      <c r="G70" s="1">
        <v>46273</v>
      </c>
      <c r="H70" t="s">
        <v>44</v>
      </c>
      <c r="I70">
        <v>7.6194138585301792E+16</v>
      </c>
      <c r="J70" t="s">
        <v>225</v>
      </c>
      <c r="K70">
        <v>1194772</v>
      </c>
      <c r="L70">
        <v>157768</v>
      </c>
      <c r="M70" t="s">
        <v>177</v>
      </c>
      <c r="N70" t="s">
        <v>226</v>
      </c>
      <c r="O70" t="s">
        <v>227</v>
      </c>
      <c r="Q70">
        <v>2026</v>
      </c>
      <c r="R70">
        <v>18</v>
      </c>
      <c r="S70" s="2">
        <v>46174</v>
      </c>
      <c r="T70">
        <v>2026</v>
      </c>
    </row>
    <row r="71" spans="1:20" x14ac:dyDescent="0.2">
      <c r="A71" t="s">
        <v>173</v>
      </c>
      <c r="B71" t="s">
        <v>228</v>
      </c>
      <c r="C71" t="s">
        <v>229</v>
      </c>
      <c r="D71" t="s">
        <v>23</v>
      </c>
      <c r="E71" s="1">
        <v>46197</v>
      </c>
      <c r="F71" t="s">
        <v>24</v>
      </c>
      <c r="G71" s="1">
        <v>46273</v>
      </c>
      <c r="H71" t="s">
        <v>44</v>
      </c>
      <c r="I71">
        <v>7.6194138585302E+16</v>
      </c>
      <c r="J71" t="s">
        <v>230</v>
      </c>
      <c r="K71">
        <v>1207852</v>
      </c>
      <c r="L71">
        <v>157768</v>
      </c>
      <c r="M71" t="s">
        <v>187</v>
      </c>
      <c r="N71" t="s">
        <v>231</v>
      </c>
      <c r="O71" t="s">
        <v>227</v>
      </c>
      <c r="Q71">
        <v>2026</v>
      </c>
      <c r="R71">
        <v>20</v>
      </c>
      <c r="S71" s="2">
        <v>46204</v>
      </c>
      <c r="T71">
        <v>2026</v>
      </c>
    </row>
    <row r="72" spans="1:20" x14ac:dyDescent="0.2">
      <c r="A72" t="s">
        <v>173</v>
      </c>
      <c r="B72" t="s">
        <v>232</v>
      </c>
      <c r="C72" t="s">
        <v>233</v>
      </c>
      <c r="D72" t="s">
        <v>23</v>
      </c>
      <c r="E72" s="1">
        <v>46239</v>
      </c>
      <c r="F72" t="s">
        <v>24</v>
      </c>
      <c r="G72" s="1">
        <v>46273</v>
      </c>
      <c r="H72" t="s">
        <v>44</v>
      </c>
      <c r="I72">
        <v>7.6194138585302208E+16</v>
      </c>
      <c r="J72" t="s">
        <v>234</v>
      </c>
      <c r="K72">
        <v>1222963</v>
      </c>
      <c r="L72">
        <v>157768</v>
      </c>
      <c r="M72" t="s">
        <v>177</v>
      </c>
      <c r="N72" t="s">
        <v>235</v>
      </c>
      <c r="O72" t="s">
        <v>236</v>
      </c>
      <c r="Q72">
        <v>2026</v>
      </c>
      <c r="R72">
        <v>22</v>
      </c>
      <c r="S72" s="2">
        <v>46296</v>
      </c>
      <c r="T72">
        <v>2026</v>
      </c>
    </row>
    <row r="73" spans="1:20" x14ac:dyDescent="0.2">
      <c r="A73" t="s">
        <v>173</v>
      </c>
      <c r="B73" t="s">
        <v>237</v>
      </c>
      <c r="C73" t="s">
        <v>238</v>
      </c>
      <c r="D73" t="s">
        <v>23</v>
      </c>
      <c r="E73" s="1">
        <v>46267</v>
      </c>
      <c r="F73" t="s">
        <v>24</v>
      </c>
      <c r="G73" s="1">
        <v>46273</v>
      </c>
      <c r="H73" t="s">
        <v>44</v>
      </c>
      <c r="I73">
        <v>7.6194138585302304E+16</v>
      </c>
      <c r="J73" t="s">
        <v>239</v>
      </c>
      <c r="K73">
        <v>1231290</v>
      </c>
      <c r="L73">
        <v>157768</v>
      </c>
      <c r="M73" t="s">
        <v>240</v>
      </c>
      <c r="N73" t="s">
        <v>241</v>
      </c>
      <c r="O73" t="s">
        <v>236</v>
      </c>
      <c r="Q73">
        <v>2026</v>
      </c>
      <c r="R73">
        <v>23</v>
      </c>
      <c r="S73" s="2">
        <v>46327</v>
      </c>
      <c r="T73">
        <v>2026</v>
      </c>
    </row>
    <row r="74" spans="1:20" x14ac:dyDescent="0.2">
      <c r="A74" t="s">
        <v>242</v>
      </c>
      <c r="B74" t="s">
        <v>243</v>
      </c>
      <c r="C74" t="s">
        <v>244</v>
      </c>
      <c r="D74" t="s">
        <v>23</v>
      </c>
      <c r="E74" s="1">
        <v>45623</v>
      </c>
      <c r="F74" t="s">
        <v>24</v>
      </c>
      <c r="G74" s="1">
        <v>46273</v>
      </c>
      <c r="H74" t="s">
        <v>245</v>
      </c>
      <c r="I74">
        <v>7.6194138586000096E+16</v>
      </c>
      <c r="J74" t="s">
        <v>246</v>
      </c>
      <c r="K74">
        <v>1099079</v>
      </c>
      <c r="L74">
        <v>157742</v>
      </c>
      <c r="N74" t="s">
        <v>27</v>
      </c>
      <c r="O74" t="s">
        <v>246</v>
      </c>
      <c r="Q74">
        <v>2024</v>
      </c>
      <c r="R74">
        <v>1</v>
      </c>
      <c r="S74" s="2">
        <v>45627</v>
      </c>
      <c r="T74">
        <v>2024</v>
      </c>
    </row>
    <row r="75" spans="1:20" x14ac:dyDescent="0.2">
      <c r="A75" t="s">
        <v>242</v>
      </c>
      <c r="B75" t="s">
        <v>125</v>
      </c>
      <c r="C75" t="s">
        <v>247</v>
      </c>
      <c r="D75" t="s">
        <v>23</v>
      </c>
      <c r="E75" s="1">
        <v>45623</v>
      </c>
      <c r="F75" t="s">
        <v>24</v>
      </c>
      <c r="G75" s="1">
        <v>46273</v>
      </c>
      <c r="H75" t="s">
        <v>25</v>
      </c>
      <c r="I75">
        <v>7.6194138586000192E+16</v>
      </c>
      <c r="J75" t="s">
        <v>246</v>
      </c>
      <c r="K75">
        <v>1086980</v>
      </c>
      <c r="L75">
        <v>157742</v>
      </c>
      <c r="N75" t="s">
        <v>31</v>
      </c>
      <c r="O75" t="s">
        <v>246</v>
      </c>
      <c r="Q75">
        <v>2024</v>
      </c>
      <c r="R75">
        <v>2</v>
      </c>
      <c r="S75" s="2">
        <v>45658</v>
      </c>
      <c r="T75">
        <v>2025</v>
      </c>
    </row>
    <row r="76" spans="1:20" x14ac:dyDescent="0.2">
      <c r="A76" t="s">
        <v>242</v>
      </c>
      <c r="B76" t="s">
        <v>87</v>
      </c>
      <c r="C76" t="s">
        <v>247</v>
      </c>
      <c r="D76" t="s">
        <v>23</v>
      </c>
      <c r="E76" s="1">
        <v>45652</v>
      </c>
      <c r="F76" t="s">
        <v>24</v>
      </c>
      <c r="G76" s="1">
        <v>46273</v>
      </c>
      <c r="H76" t="s">
        <v>25</v>
      </c>
      <c r="I76">
        <v>7.6194138586000304E+16</v>
      </c>
      <c r="J76" t="s">
        <v>246</v>
      </c>
      <c r="K76">
        <v>1094442</v>
      </c>
      <c r="L76">
        <v>157742</v>
      </c>
      <c r="N76" t="s">
        <v>35</v>
      </c>
      <c r="O76" t="s">
        <v>246</v>
      </c>
      <c r="Q76">
        <v>2024</v>
      </c>
      <c r="R76">
        <v>3</v>
      </c>
      <c r="S76" s="2">
        <v>45689</v>
      </c>
      <c r="T76">
        <v>2025</v>
      </c>
    </row>
    <row r="77" spans="1:20" x14ac:dyDescent="0.2">
      <c r="A77" t="s">
        <v>242</v>
      </c>
      <c r="B77" t="s">
        <v>248</v>
      </c>
      <c r="C77" t="s">
        <v>249</v>
      </c>
      <c r="D77" t="s">
        <v>23</v>
      </c>
      <c r="E77" s="1">
        <v>45679</v>
      </c>
      <c r="F77" t="s">
        <v>24</v>
      </c>
      <c r="G77" s="1">
        <v>46273</v>
      </c>
      <c r="H77" t="s">
        <v>34</v>
      </c>
      <c r="I77">
        <v>7.61941385860004E+16</v>
      </c>
      <c r="J77" t="s">
        <v>246</v>
      </c>
      <c r="K77">
        <v>1100217</v>
      </c>
      <c r="L77">
        <v>157742</v>
      </c>
      <c r="N77" t="s">
        <v>37</v>
      </c>
      <c r="O77" t="s">
        <v>246</v>
      </c>
      <c r="Q77">
        <v>2025</v>
      </c>
      <c r="R77">
        <v>4</v>
      </c>
      <c r="S77" s="2">
        <v>45717</v>
      </c>
      <c r="T77">
        <v>2025</v>
      </c>
    </row>
    <row r="78" spans="1:20" x14ac:dyDescent="0.2">
      <c r="A78" t="s">
        <v>242</v>
      </c>
      <c r="B78" t="s">
        <v>193</v>
      </c>
      <c r="C78" t="s">
        <v>250</v>
      </c>
      <c r="D78" t="s">
        <v>23</v>
      </c>
      <c r="E78" s="1">
        <v>45714</v>
      </c>
      <c r="F78" t="s">
        <v>24</v>
      </c>
      <c r="G78" s="1">
        <v>46273</v>
      </c>
      <c r="H78" t="s">
        <v>34</v>
      </c>
      <c r="I78">
        <v>7.6194138586000496E+16</v>
      </c>
      <c r="J78" t="s">
        <v>246</v>
      </c>
      <c r="K78">
        <v>1107514</v>
      </c>
      <c r="L78">
        <v>157742</v>
      </c>
      <c r="N78" t="s">
        <v>55</v>
      </c>
      <c r="O78" t="s">
        <v>246</v>
      </c>
      <c r="Q78">
        <v>2025</v>
      </c>
      <c r="R78">
        <v>5</v>
      </c>
      <c r="S78" s="2">
        <v>45748</v>
      </c>
      <c r="T78">
        <v>2025</v>
      </c>
    </row>
    <row r="79" spans="1:20" x14ac:dyDescent="0.2">
      <c r="A79" t="s">
        <v>242</v>
      </c>
      <c r="B79" t="s">
        <v>39</v>
      </c>
      <c r="C79" t="s">
        <v>251</v>
      </c>
      <c r="D79" t="s">
        <v>23</v>
      </c>
      <c r="E79" s="1">
        <v>45742</v>
      </c>
      <c r="F79" t="s">
        <v>24</v>
      </c>
      <c r="G79" s="1">
        <v>46273</v>
      </c>
      <c r="H79" t="s">
        <v>34</v>
      </c>
      <c r="I79">
        <v>7.6194138586000608E+16</v>
      </c>
      <c r="J79" t="s">
        <v>252</v>
      </c>
      <c r="K79">
        <v>1112396</v>
      </c>
      <c r="L79">
        <v>157742</v>
      </c>
      <c r="N79" t="s">
        <v>27</v>
      </c>
      <c r="O79" t="s">
        <v>252</v>
      </c>
      <c r="Q79">
        <v>2025</v>
      </c>
      <c r="R79">
        <v>6</v>
      </c>
      <c r="S79" s="2">
        <v>45778</v>
      </c>
      <c r="T79">
        <v>2025</v>
      </c>
    </row>
    <row r="80" spans="1:20" x14ac:dyDescent="0.2">
      <c r="A80" t="s">
        <v>242</v>
      </c>
      <c r="B80" t="s">
        <v>110</v>
      </c>
      <c r="C80" t="s">
        <v>247</v>
      </c>
      <c r="D80" t="s">
        <v>23</v>
      </c>
      <c r="E80" s="1">
        <v>45770</v>
      </c>
      <c r="F80" t="s">
        <v>24</v>
      </c>
      <c r="G80" s="1">
        <v>46273</v>
      </c>
      <c r="H80" t="s">
        <v>25</v>
      </c>
      <c r="I80">
        <v>7.6194138586000704E+16</v>
      </c>
      <c r="J80" t="s">
        <v>252</v>
      </c>
      <c r="K80">
        <v>1123743</v>
      </c>
      <c r="L80">
        <v>157742</v>
      </c>
      <c r="N80" t="s">
        <v>31</v>
      </c>
      <c r="O80" t="s">
        <v>252</v>
      </c>
      <c r="Q80">
        <v>2025</v>
      </c>
      <c r="R80">
        <v>7</v>
      </c>
      <c r="S80" s="2">
        <v>45809</v>
      </c>
      <c r="T80">
        <v>2025</v>
      </c>
    </row>
    <row r="81" spans="1:20" x14ac:dyDescent="0.2">
      <c r="A81" t="s">
        <v>242</v>
      </c>
      <c r="B81" t="s">
        <v>206</v>
      </c>
      <c r="C81" t="s">
        <v>244</v>
      </c>
      <c r="D81" t="s">
        <v>23</v>
      </c>
      <c r="E81" s="1">
        <v>45917</v>
      </c>
      <c r="F81" t="s">
        <v>24</v>
      </c>
      <c r="G81" s="1">
        <v>46273</v>
      </c>
      <c r="H81" t="s">
        <v>51</v>
      </c>
      <c r="I81">
        <v>7.61941385860008E+16</v>
      </c>
      <c r="J81" t="s">
        <v>253</v>
      </c>
      <c r="K81">
        <v>1164126</v>
      </c>
      <c r="L81">
        <v>157742</v>
      </c>
      <c r="N81" t="s">
        <v>27</v>
      </c>
      <c r="O81" t="s">
        <v>253</v>
      </c>
      <c r="Q81">
        <v>2025</v>
      </c>
      <c r="R81">
        <v>8</v>
      </c>
      <c r="S81" s="2">
        <v>45962</v>
      </c>
      <c r="T81">
        <v>2025</v>
      </c>
    </row>
    <row r="82" spans="1:20" x14ac:dyDescent="0.2">
      <c r="A82" t="s">
        <v>242</v>
      </c>
      <c r="B82" t="s">
        <v>47</v>
      </c>
      <c r="C82" t="s">
        <v>247</v>
      </c>
      <c r="D82" t="s">
        <v>23</v>
      </c>
      <c r="E82" s="1">
        <v>45833</v>
      </c>
      <c r="F82" t="s">
        <v>24</v>
      </c>
      <c r="G82" s="1">
        <v>46273</v>
      </c>
      <c r="H82" t="s">
        <v>25</v>
      </c>
      <c r="I82">
        <v>7.6194138586000896E+16</v>
      </c>
      <c r="J82" t="s">
        <v>253</v>
      </c>
      <c r="K82">
        <v>1136337</v>
      </c>
      <c r="L82">
        <v>157742</v>
      </c>
      <c r="N82" t="s">
        <v>31</v>
      </c>
      <c r="O82" t="s">
        <v>253</v>
      </c>
      <c r="Q82">
        <v>2025</v>
      </c>
      <c r="R82">
        <v>9</v>
      </c>
      <c r="S82" s="2">
        <v>45870</v>
      </c>
      <c r="T82">
        <v>2025</v>
      </c>
    </row>
    <row r="83" spans="1:20" x14ac:dyDescent="0.2">
      <c r="A83" t="s">
        <v>242</v>
      </c>
      <c r="B83" t="s">
        <v>254</v>
      </c>
      <c r="C83" t="s">
        <v>244</v>
      </c>
      <c r="D83" t="s">
        <v>23</v>
      </c>
      <c r="E83" s="1">
        <v>45917</v>
      </c>
      <c r="F83" t="s">
        <v>24</v>
      </c>
      <c r="G83" s="1">
        <v>46273</v>
      </c>
      <c r="H83" t="s">
        <v>255</v>
      </c>
      <c r="I83">
        <v>7.6194138586000992E+16</v>
      </c>
      <c r="J83" t="s">
        <v>253</v>
      </c>
      <c r="K83">
        <v>1164128</v>
      </c>
      <c r="L83">
        <v>157742</v>
      </c>
      <c r="N83" t="s">
        <v>35</v>
      </c>
      <c r="O83" t="s">
        <v>253</v>
      </c>
      <c r="Q83">
        <v>2025</v>
      </c>
      <c r="R83">
        <v>10</v>
      </c>
      <c r="S83" s="2">
        <v>45962</v>
      </c>
      <c r="T83">
        <v>2025</v>
      </c>
    </row>
    <row r="84" spans="1:20" x14ac:dyDescent="0.2">
      <c r="A84" t="s">
        <v>242</v>
      </c>
      <c r="B84" t="s">
        <v>256</v>
      </c>
      <c r="C84" t="s">
        <v>257</v>
      </c>
      <c r="D84" t="s">
        <v>23</v>
      </c>
      <c r="E84" s="1">
        <v>45924</v>
      </c>
      <c r="F84" t="s">
        <v>24</v>
      </c>
      <c r="G84" s="1">
        <v>46273</v>
      </c>
      <c r="H84" t="s">
        <v>98</v>
      </c>
      <c r="I84">
        <v>7.61941385860012E+16</v>
      </c>
      <c r="J84" t="s">
        <v>253</v>
      </c>
      <c r="K84">
        <v>1152671</v>
      </c>
      <c r="L84">
        <v>157742</v>
      </c>
      <c r="N84" t="s">
        <v>55</v>
      </c>
      <c r="O84" t="s">
        <v>253</v>
      </c>
      <c r="Q84">
        <v>2025</v>
      </c>
      <c r="R84">
        <v>12</v>
      </c>
      <c r="S84" s="2">
        <v>45962</v>
      </c>
      <c r="T84">
        <v>2025</v>
      </c>
    </row>
    <row r="85" spans="1:20" x14ac:dyDescent="0.2">
      <c r="A85" t="s">
        <v>242</v>
      </c>
      <c r="B85" t="s">
        <v>258</v>
      </c>
      <c r="C85" t="s">
        <v>198</v>
      </c>
      <c r="D85" t="s">
        <v>23</v>
      </c>
      <c r="E85" s="1">
        <v>45952</v>
      </c>
      <c r="F85" t="s">
        <v>24</v>
      </c>
      <c r="G85" s="1">
        <v>46273</v>
      </c>
      <c r="H85" t="s">
        <v>44</v>
      </c>
      <c r="I85">
        <v>7.6194138586001296E+16</v>
      </c>
      <c r="J85" t="s">
        <v>259</v>
      </c>
      <c r="K85">
        <v>1157973</v>
      </c>
      <c r="L85">
        <v>157742</v>
      </c>
      <c r="N85" t="s">
        <v>27</v>
      </c>
      <c r="O85" t="s">
        <v>259</v>
      </c>
      <c r="Q85">
        <v>2025</v>
      </c>
      <c r="R85">
        <v>13</v>
      </c>
      <c r="S85" s="2">
        <v>45992</v>
      </c>
      <c r="T85">
        <v>2025</v>
      </c>
    </row>
    <row r="86" spans="1:20" x14ac:dyDescent="0.2">
      <c r="A86" t="s">
        <v>242</v>
      </c>
      <c r="B86" t="s">
        <v>260</v>
      </c>
      <c r="C86" t="s">
        <v>261</v>
      </c>
      <c r="D86" t="s">
        <v>23</v>
      </c>
      <c r="E86" s="1">
        <v>45952</v>
      </c>
      <c r="F86" t="s">
        <v>24</v>
      </c>
      <c r="G86" s="1">
        <v>46273</v>
      </c>
      <c r="H86" t="s">
        <v>34</v>
      </c>
      <c r="I86">
        <v>7.6194138586001296E+16</v>
      </c>
      <c r="J86" t="s">
        <v>259</v>
      </c>
      <c r="K86">
        <v>1157974</v>
      </c>
      <c r="L86">
        <v>157742</v>
      </c>
      <c r="N86" t="s">
        <v>27</v>
      </c>
      <c r="O86" t="s">
        <v>259</v>
      </c>
      <c r="Q86">
        <v>2025</v>
      </c>
      <c r="R86">
        <v>13</v>
      </c>
      <c r="S86" s="2">
        <v>45992</v>
      </c>
      <c r="T86">
        <v>2025</v>
      </c>
    </row>
    <row r="87" spans="1:20" x14ac:dyDescent="0.2">
      <c r="A87" t="s">
        <v>242</v>
      </c>
      <c r="B87" t="s">
        <v>262</v>
      </c>
      <c r="C87" t="s">
        <v>247</v>
      </c>
      <c r="D87" t="s">
        <v>23</v>
      </c>
      <c r="E87" s="1">
        <v>46015</v>
      </c>
      <c r="F87" t="s">
        <v>24</v>
      </c>
      <c r="G87" s="1">
        <v>46273</v>
      </c>
      <c r="H87" t="s">
        <v>25</v>
      </c>
      <c r="I87">
        <v>7.6194138586001504E+16</v>
      </c>
      <c r="J87" t="s">
        <v>263</v>
      </c>
      <c r="K87">
        <v>1169476</v>
      </c>
      <c r="L87">
        <v>157742</v>
      </c>
      <c r="M87" t="s">
        <v>263</v>
      </c>
      <c r="Q87">
        <v>2025</v>
      </c>
      <c r="R87">
        <v>15</v>
      </c>
      <c r="S87" s="2">
        <v>46054</v>
      </c>
      <c r="T87">
        <v>2026</v>
      </c>
    </row>
    <row r="88" spans="1:20" x14ac:dyDescent="0.2">
      <c r="A88" t="s">
        <v>242</v>
      </c>
      <c r="B88" t="s">
        <v>264</v>
      </c>
      <c r="C88" t="s">
        <v>265</v>
      </c>
      <c r="D88" t="s">
        <v>23</v>
      </c>
      <c r="E88" s="1">
        <v>46078</v>
      </c>
      <c r="F88" t="s">
        <v>24</v>
      </c>
      <c r="G88" s="1">
        <v>46273</v>
      </c>
      <c r="H88" t="s">
        <v>34</v>
      </c>
      <c r="I88">
        <v>7.6194138586001696E+16</v>
      </c>
      <c r="J88" t="s">
        <v>266</v>
      </c>
      <c r="K88">
        <v>1183025</v>
      </c>
      <c r="L88">
        <v>157742</v>
      </c>
      <c r="N88" t="s">
        <v>31</v>
      </c>
      <c r="O88" t="s">
        <v>266</v>
      </c>
      <c r="Q88">
        <v>2026</v>
      </c>
      <c r="R88">
        <v>17</v>
      </c>
      <c r="S88" s="2">
        <v>46113</v>
      </c>
      <c r="T88">
        <v>2026</v>
      </c>
    </row>
    <row r="89" spans="1:20" x14ac:dyDescent="0.2">
      <c r="A89" t="s">
        <v>242</v>
      </c>
      <c r="B89" t="s">
        <v>223</v>
      </c>
      <c r="C89" t="s">
        <v>267</v>
      </c>
      <c r="D89" t="s">
        <v>23</v>
      </c>
      <c r="E89" s="1">
        <v>46106</v>
      </c>
      <c r="F89" t="s">
        <v>24</v>
      </c>
      <c r="G89" s="1">
        <v>46273</v>
      </c>
      <c r="H89" t="s">
        <v>44</v>
      </c>
      <c r="I89">
        <v>7.6194138586001792E+16</v>
      </c>
      <c r="J89" t="s">
        <v>266</v>
      </c>
      <c r="K89">
        <v>1188455</v>
      </c>
      <c r="L89">
        <v>157742</v>
      </c>
      <c r="N89" t="s">
        <v>35</v>
      </c>
      <c r="O89" t="s">
        <v>266</v>
      </c>
      <c r="Q89">
        <v>2026</v>
      </c>
      <c r="R89">
        <v>18</v>
      </c>
      <c r="S89" s="2">
        <v>46143</v>
      </c>
      <c r="T89">
        <v>2026</v>
      </c>
    </row>
    <row r="90" spans="1:20" x14ac:dyDescent="0.2">
      <c r="A90" t="s">
        <v>242</v>
      </c>
      <c r="B90" t="s">
        <v>268</v>
      </c>
      <c r="C90" t="s">
        <v>247</v>
      </c>
      <c r="D90" t="s">
        <v>23</v>
      </c>
      <c r="E90" s="1">
        <v>46225</v>
      </c>
      <c r="F90" t="s">
        <v>24</v>
      </c>
      <c r="G90" s="1">
        <v>46273</v>
      </c>
      <c r="H90" t="s">
        <v>25</v>
      </c>
      <c r="I90">
        <v>7.6194138586002208E+16</v>
      </c>
      <c r="J90" t="s">
        <v>269</v>
      </c>
      <c r="K90">
        <v>1214823</v>
      </c>
      <c r="L90">
        <v>157742</v>
      </c>
      <c r="N90" t="s">
        <v>31</v>
      </c>
      <c r="O90" t="s">
        <v>269</v>
      </c>
      <c r="Q90">
        <v>2026</v>
      </c>
      <c r="R90">
        <v>22</v>
      </c>
      <c r="S90" s="2">
        <v>46266</v>
      </c>
      <c r="T90">
        <v>2026</v>
      </c>
    </row>
    <row r="91" spans="1:20" x14ac:dyDescent="0.2">
      <c r="A91" t="s">
        <v>242</v>
      </c>
      <c r="B91" t="s">
        <v>237</v>
      </c>
      <c r="C91" t="s">
        <v>267</v>
      </c>
      <c r="D91" t="s">
        <v>23</v>
      </c>
      <c r="E91" s="1">
        <v>46260</v>
      </c>
      <c r="F91" t="s">
        <v>24</v>
      </c>
      <c r="G91" s="1">
        <v>46273</v>
      </c>
      <c r="H91" t="s">
        <v>44</v>
      </c>
      <c r="I91">
        <v>7.6194138586002304E+16</v>
      </c>
      <c r="J91" t="s">
        <v>270</v>
      </c>
      <c r="K91">
        <v>1222959</v>
      </c>
      <c r="L91">
        <v>157742</v>
      </c>
      <c r="M91" t="s">
        <v>271</v>
      </c>
      <c r="O91" t="s">
        <v>272</v>
      </c>
      <c r="Q91">
        <v>2026</v>
      </c>
      <c r="R91">
        <v>23</v>
      </c>
      <c r="S91" s="2">
        <v>46296</v>
      </c>
      <c r="T91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Dashboard</vt:lpstr>
      <vt:lpstr>Pricing Tracker</vt:lpstr>
      <vt:lpstr>Assumptions</vt:lpstr>
      <vt:lpstr>Reading Order</vt:lpstr>
      <vt:lpstr>Missing Issues</vt:lpstr>
      <vt:lpstr>Shopping Plan</vt:lpstr>
      <vt:lpstr>export_comics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 Casto</cp:lastModifiedBy>
  <dcterms:created xsi:type="dcterms:W3CDTF">2026-09-10T03:45:22Z</dcterms:created>
  <dcterms:modified xsi:type="dcterms:W3CDTF">2026-09-10T04:07:26Z</dcterms:modified>
</cp:coreProperties>
</file>